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960" windowWidth="15600" windowHeight="6795" tabRatio="749" firstSheet="4" activeTab="4"/>
  </bookViews>
  <sheets>
    <sheet name="BC UBND Huyện 15 hàng tháng" sheetId="3" state="hidden" r:id="rId1"/>
    <sheet name="TLP ngày 02" sheetId="12" state="hidden" r:id="rId2"/>
    <sheet name="LN ngày 02" sheetId="13" state="hidden" r:id="rId3"/>
    <sheet name="Trước 13 hàng tháng" sheetId="14" state="hidden" r:id="rId4"/>
    <sheet name="UBND ĐTC" sheetId="15" r:id="rId5"/>
    <sheet name="Sheet1" sheetId="16" state="hidden" r:id="rId6"/>
    <sheet name="UBND SN" sheetId="17" state="hidden" r:id="rId7"/>
    <sheet name="Sheet2" sheetId="18" state="hidden" r:id="rId8"/>
    <sheet name="Sheet3" sheetId="19" state="hidden" r:id="rId9"/>
  </sheets>
  <externalReferences>
    <externalReference r:id="rId10"/>
  </externalReferences>
  <definedNames>
    <definedName name="baocaogiaingan">[1]Trang_tính1!$C$4:$C$8</definedName>
    <definedName name="Baotiendo">[1]Trang_tính1!$B$4:$B$6</definedName>
    <definedName name="Danhgia">[1]Trang_tính1!$D$4:$D$6</definedName>
    <definedName name="_xlnm.Print_Titles" localSheetId="0">'BC UBND Huyện 15 hàng tháng'!$7:$7</definedName>
    <definedName name="_xlnm.Print_Titles" localSheetId="2">'LN ngày 02'!$8:$9</definedName>
    <definedName name="_xlnm.Print_Titles" localSheetId="1">'TLP ngày 02'!$8:$9</definedName>
    <definedName name="_xlnm.Print_Titles" localSheetId="3">'Trước 13 hàng tháng'!$12:$12</definedName>
    <definedName name="_xlnm.Print_Titles" localSheetId="4">'UBND ĐTC'!$9:$9</definedName>
    <definedName name="_xlnm.Print_Titles" localSheetId="6">'UBND SN'!$9:$13</definedName>
  </definedNames>
  <calcPr calcId="144525"/>
</workbook>
</file>

<file path=xl/calcChain.xml><?xml version="1.0" encoding="utf-8"?>
<calcChain xmlns="http://schemas.openxmlformats.org/spreadsheetml/2006/main">
  <c r="N82" i="15" l="1"/>
  <c r="L82" i="15" s="1"/>
  <c r="L83" i="15"/>
  <c r="L46" i="15"/>
  <c r="L47" i="15"/>
  <c r="L61" i="15"/>
  <c r="L62" i="15"/>
  <c r="L63" i="15"/>
  <c r="L78" i="15"/>
  <c r="L79" i="15"/>
  <c r="L77" i="15" s="1"/>
  <c r="L81" i="15"/>
  <c r="X23" i="17"/>
  <c r="X21" i="17"/>
  <c r="X20" i="17"/>
  <c r="X19" i="17"/>
  <c r="X17" i="17"/>
  <c r="L32" i="17"/>
  <c r="I32" i="17"/>
  <c r="I31" i="17" s="1"/>
  <c r="H32" i="17"/>
  <c r="H31" i="17" s="1"/>
  <c r="F31" i="17"/>
  <c r="G31" i="17"/>
  <c r="J31" i="17"/>
  <c r="K31" i="17"/>
  <c r="L31" i="17"/>
  <c r="M31" i="17"/>
  <c r="N31" i="17"/>
  <c r="F33" i="17"/>
  <c r="G33" i="17"/>
  <c r="I33" i="17"/>
  <c r="J33" i="17"/>
  <c r="K33" i="17"/>
  <c r="M33" i="17"/>
  <c r="N33" i="17"/>
  <c r="O33" i="17"/>
  <c r="P33" i="17"/>
  <c r="Q33" i="17"/>
  <c r="R33" i="17"/>
  <c r="S33" i="17"/>
  <c r="T33" i="17"/>
  <c r="U33" i="17"/>
  <c r="V33" i="17"/>
  <c r="W33" i="17"/>
  <c r="F28" i="17"/>
  <c r="G28" i="17"/>
  <c r="I28" i="17"/>
  <c r="J28" i="17"/>
  <c r="K28" i="17"/>
  <c r="M28" i="17"/>
  <c r="N28" i="17"/>
  <c r="O83" i="15"/>
  <c r="Q82" i="15"/>
  <c r="O82" i="15" s="1"/>
  <c r="Q81" i="15"/>
  <c r="O81" i="15" s="1"/>
  <c r="I72" i="15"/>
  <c r="I73" i="15"/>
  <c r="I74" i="15"/>
  <c r="I76" i="15"/>
  <c r="I81" i="15"/>
  <c r="I82" i="15"/>
  <c r="I83" i="15"/>
  <c r="Q79" i="15"/>
  <c r="O79" i="15" s="1"/>
  <c r="Q78" i="15"/>
  <c r="O78" i="15" s="1"/>
  <c r="L74" i="15"/>
  <c r="L73" i="15"/>
  <c r="L71" i="15" s="1"/>
  <c r="Q74" i="15"/>
  <c r="O74" i="15" s="1"/>
  <c r="Q73" i="15"/>
  <c r="O73" i="15" s="1"/>
  <c r="O71" i="15" s="1"/>
  <c r="I70" i="15"/>
  <c r="I68" i="15" s="1"/>
  <c r="I69" i="15"/>
  <c r="L70" i="15"/>
  <c r="L69" i="15"/>
  <c r="Q70" i="15"/>
  <c r="O70" i="15" s="1"/>
  <c r="Q69" i="15"/>
  <c r="O69" i="15" s="1"/>
  <c r="I49" i="15"/>
  <c r="I48" i="15" s="1"/>
  <c r="L49" i="15"/>
  <c r="H80" i="15"/>
  <c r="J80" i="15"/>
  <c r="I80" i="15" s="1"/>
  <c r="K80" i="15"/>
  <c r="M80" i="15"/>
  <c r="N80" i="15"/>
  <c r="P80" i="15"/>
  <c r="O80" i="15" s="1"/>
  <c r="Q80" i="15"/>
  <c r="R80" i="15"/>
  <c r="S80" i="15"/>
  <c r="T80" i="15"/>
  <c r="U80" i="15"/>
  <c r="V80" i="15"/>
  <c r="H77" i="15"/>
  <c r="H75" i="15" s="1"/>
  <c r="K77" i="15"/>
  <c r="K75" i="15" s="1"/>
  <c r="M77" i="15"/>
  <c r="N77" i="15"/>
  <c r="P77" i="15"/>
  <c r="P75" i="15" s="1"/>
  <c r="R77" i="15"/>
  <c r="R75" i="15" s="1"/>
  <c r="S77" i="15"/>
  <c r="T77" i="15"/>
  <c r="T75" i="15" s="1"/>
  <c r="U77" i="15"/>
  <c r="U75" i="15"/>
  <c r="V77" i="15"/>
  <c r="V75" i="15"/>
  <c r="E74" i="15"/>
  <c r="H71" i="15"/>
  <c r="H66" i="15"/>
  <c r="J71" i="15"/>
  <c r="K71" i="15"/>
  <c r="M71" i="15"/>
  <c r="N71" i="15"/>
  <c r="P71" i="15"/>
  <c r="Q71" i="15"/>
  <c r="R71" i="15"/>
  <c r="S71" i="15"/>
  <c r="T71" i="15"/>
  <c r="U71" i="15"/>
  <c r="V71" i="15"/>
  <c r="F71" i="15"/>
  <c r="H68" i="15"/>
  <c r="J68" i="15"/>
  <c r="J66" i="15" s="1"/>
  <c r="K68" i="15"/>
  <c r="K66" i="15"/>
  <c r="M68" i="15"/>
  <c r="M66" i="15"/>
  <c r="N68" i="15"/>
  <c r="N66" i="15"/>
  <c r="P68" i="15"/>
  <c r="P66" i="15"/>
  <c r="R68" i="15"/>
  <c r="R66" i="15" s="1"/>
  <c r="S68" i="15"/>
  <c r="S66" i="15"/>
  <c r="T68" i="15"/>
  <c r="T66" i="15" s="1"/>
  <c r="U68" i="15"/>
  <c r="U66" i="15" s="1"/>
  <c r="U64" i="15" s="1"/>
  <c r="V68" i="15"/>
  <c r="V66" i="15" s="1"/>
  <c r="F68" i="15"/>
  <c r="F66" i="15" s="1"/>
  <c r="F64" i="15" s="1"/>
  <c r="E70" i="15"/>
  <c r="E68" i="15" s="1"/>
  <c r="E72" i="15"/>
  <c r="E73" i="15"/>
  <c r="E76" i="15"/>
  <c r="E78" i="15"/>
  <c r="E79" i="15"/>
  <c r="E81" i="15"/>
  <c r="E82" i="15"/>
  <c r="E83" i="15"/>
  <c r="E69" i="15"/>
  <c r="G80" i="15"/>
  <c r="E80" i="15" s="1"/>
  <c r="G77" i="15"/>
  <c r="G75" i="15" s="1"/>
  <c r="E75" i="15" s="1"/>
  <c r="G71" i="15"/>
  <c r="G68" i="15"/>
  <c r="Q48" i="15"/>
  <c r="O49" i="15"/>
  <c r="O48" i="15"/>
  <c r="F31" i="15"/>
  <c r="G31" i="15"/>
  <c r="J31" i="15"/>
  <c r="K31" i="15"/>
  <c r="M31" i="15"/>
  <c r="N31" i="15"/>
  <c r="P31" i="15"/>
  <c r="R31" i="15"/>
  <c r="S31" i="15"/>
  <c r="T31" i="15"/>
  <c r="U31" i="15"/>
  <c r="V31" i="15"/>
  <c r="E59" i="15"/>
  <c r="L59" i="15"/>
  <c r="Q62" i="15"/>
  <c r="O62" i="15"/>
  <c r="Q63" i="15"/>
  <c r="Q61" i="15"/>
  <c r="O61" i="15" s="1"/>
  <c r="F60" i="15"/>
  <c r="G60" i="15"/>
  <c r="H60" i="15"/>
  <c r="I60" i="15"/>
  <c r="J60" i="15"/>
  <c r="K60" i="15"/>
  <c r="L60" i="15"/>
  <c r="M60" i="15"/>
  <c r="N60" i="15"/>
  <c r="P60" i="15"/>
  <c r="R60" i="15"/>
  <c r="S60" i="15"/>
  <c r="T60" i="15"/>
  <c r="U60" i="15"/>
  <c r="V60" i="15"/>
  <c r="E62" i="15"/>
  <c r="E63" i="15"/>
  <c r="E61" i="15"/>
  <c r="E60" i="15" s="1"/>
  <c r="Q57" i="15"/>
  <c r="O57" i="15" s="1"/>
  <c r="Q58" i="15"/>
  <c r="O58" i="15" s="1"/>
  <c r="Q56" i="15"/>
  <c r="Q55" i="15" s="1"/>
  <c r="F55" i="15"/>
  <c r="G55" i="15"/>
  <c r="I55" i="15"/>
  <c r="J55" i="15"/>
  <c r="K55" i="15"/>
  <c r="M55" i="15"/>
  <c r="N55" i="15"/>
  <c r="P55" i="15"/>
  <c r="R55" i="15"/>
  <c r="S55" i="15"/>
  <c r="T55" i="15"/>
  <c r="U55" i="15"/>
  <c r="V55" i="15"/>
  <c r="L58" i="15"/>
  <c r="H58" i="15" s="1"/>
  <c r="E58" i="15"/>
  <c r="L57" i="15"/>
  <c r="H57" i="15" s="1"/>
  <c r="E57" i="15"/>
  <c r="O56" i="15"/>
  <c r="L56" i="15"/>
  <c r="H56" i="15"/>
  <c r="H55" i="15" s="1"/>
  <c r="E56" i="15"/>
  <c r="E55" i="15"/>
  <c r="F50" i="15"/>
  <c r="G50" i="15"/>
  <c r="J50" i="15"/>
  <c r="K50" i="15"/>
  <c r="M50" i="15"/>
  <c r="N50" i="15"/>
  <c r="P50" i="15"/>
  <c r="R50" i="15"/>
  <c r="S50" i="15"/>
  <c r="T50" i="15"/>
  <c r="U50" i="15"/>
  <c r="E51" i="15"/>
  <c r="Q52" i="15"/>
  <c r="Q53" i="15"/>
  <c r="Q54" i="15"/>
  <c r="Q51" i="15"/>
  <c r="Q50" i="15" s="1"/>
  <c r="F48" i="15"/>
  <c r="G48" i="15"/>
  <c r="H48" i="15"/>
  <c r="J48" i="15"/>
  <c r="K48" i="15"/>
  <c r="L48" i="15"/>
  <c r="M48" i="15"/>
  <c r="N48" i="15"/>
  <c r="P48" i="15"/>
  <c r="P29" i="15" s="1"/>
  <c r="R48" i="15"/>
  <c r="S48" i="15"/>
  <c r="T48" i="15"/>
  <c r="U48" i="15"/>
  <c r="V48" i="15"/>
  <c r="E46" i="15"/>
  <c r="E47" i="15"/>
  <c r="E49" i="15"/>
  <c r="E48" i="15" s="1"/>
  <c r="Q33" i="15"/>
  <c r="Q34" i="15"/>
  <c r="Q37" i="15"/>
  <c r="Q39" i="15"/>
  <c r="Q43" i="15"/>
  <c r="Q45" i="15"/>
  <c r="O45" i="15" s="1"/>
  <c r="Q46" i="15"/>
  <c r="O46" i="15" s="1"/>
  <c r="Q47" i="15"/>
  <c r="O47" i="15" s="1"/>
  <c r="Q23" i="15"/>
  <c r="F19" i="15"/>
  <c r="G19" i="15"/>
  <c r="I19" i="15"/>
  <c r="J19" i="15"/>
  <c r="K19" i="15"/>
  <c r="M19" i="15"/>
  <c r="N19" i="15"/>
  <c r="P19" i="15"/>
  <c r="R19" i="15"/>
  <c r="S19" i="15"/>
  <c r="T19" i="15"/>
  <c r="U19" i="15"/>
  <c r="V19" i="15"/>
  <c r="E20" i="15"/>
  <c r="L20" i="15"/>
  <c r="H20" i="15"/>
  <c r="Q20" i="15"/>
  <c r="O20" i="15"/>
  <c r="E21" i="15"/>
  <c r="L21" i="15"/>
  <c r="H21" i="15" s="1"/>
  <c r="Q21" i="15"/>
  <c r="O21" i="15" s="1"/>
  <c r="L19" i="17"/>
  <c r="L34" i="17"/>
  <c r="E34" i="17"/>
  <c r="E33" i="17" s="1"/>
  <c r="U31" i="17"/>
  <c r="T31" i="17"/>
  <c r="S31" i="17"/>
  <c r="Q32" i="17"/>
  <c r="P32" i="17"/>
  <c r="P31" i="17" s="1"/>
  <c r="O32" i="17"/>
  <c r="O31" i="17"/>
  <c r="R31" i="17"/>
  <c r="L30" i="17"/>
  <c r="H30" i="17" s="1"/>
  <c r="E30" i="17"/>
  <c r="L29" i="17"/>
  <c r="L28" i="17" s="1"/>
  <c r="E29" i="17"/>
  <c r="E28" i="17" s="1"/>
  <c r="W28" i="17"/>
  <c r="V28" i="17"/>
  <c r="U28" i="17"/>
  <c r="T28" i="17"/>
  <c r="S28" i="17"/>
  <c r="R28" i="17"/>
  <c r="Q28" i="17"/>
  <c r="P28" i="17"/>
  <c r="O28" i="17"/>
  <c r="L27" i="17"/>
  <c r="I27" i="17"/>
  <c r="E27" i="17"/>
  <c r="L26" i="17"/>
  <c r="I26" i="17"/>
  <c r="E26" i="17"/>
  <c r="L25" i="17"/>
  <c r="I25" i="17"/>
  <c r="E25" i="17"/>
  <c r="W24" i="17"/>
  <c r="V24" i="17"/>
  <c r="U24" i="17"/>
  <c r="T24" i="17"/>
  <c r="S24" i="17"/>
  <c r="R24" i="17"/>
  <c r="Q24" i="17"/>
  <c r="P24" i="17"/>
  <c r="O24" i="17"/>
  <c r="N24" i="17"/>
  <c r="M24" i="17"/>
  <c r="K24" i="17"/>
  <c r="K17" i="17"/>
  <c r="K16" i="17" s="1"/>
  <c r="K14" i="17" s="1"/>
  <c r="J24" i="17"/>
  <c r="G24" i="17"/>
  <c r="F24" i="17"/>
  <c r="L23" i="17"/>
  <c r="I23" i="17"/>
  <c r="E23" i="17"/>
  <c r="L22" i="17"/>
  <c r="I22" i="17"/>
  <c r="E22" i="17"/>
  <c r="L21" i="17"/>
  <c r="I21" i="17"/>
  <c r="E21" i="17"/>
  <c r="L20" i="17"/>
  <c r="I20" i="17"/>
  <c r="E20" i="17"/>
  <c r="I19" i="17"/>
  <c r="E19" i="17"/>
  <c r="W18" i="17"/>
  <c r="W17" i="17" s="1"/>
  <c r="W16" i="17" s="1"/>
  <c r="W14" i="17" s="1"/>
  <c r="V18" i="17"/>
  <c r="V17" i="17"/>
  <c r="V16" i="17" s="1"/>
  <c r="V14" i="17" s="1"/>
  <c r="U18" i="17"/>
  <c r="U17" i="17" s="1"/>
  <c r="U16" i="17" s="1"/>
  <c r="U14" i="17" s="1"/>
  <c r="T18" i="17"/>
  <c r="T17" i="17" s="1"/>
  <c r="T16" i="17" s="1"/>
  <c r="T14" i="17" s="1"/>
  <c r="S18" i="17"/>
  <c r="S17" i="17" s="1"/>
  <c r="S16" i="17" s="1"/>
  <c r="S14" i="17" s="1"/>
  <c r="R18" i="17"/>
  <c r="R17" i="17"/>
  <c r="R16" i="17" s="1"/>
  <c r="R14" i="17" s="1"/>
  <c r="Q18" i="17"/>
  <c r="P18" i="17"/>
  <c r="P17" i="17" s="1"/>
  <c r="P16" i="17" s="1"/>
  <c r="P14" i="17" s="1"/>
  <c r="O18" i="17"/>
  <c r="N18" i="17"/>
  <c r="N17" i="17" s="1"/>
  <c r="N16" i="17" s="1"/>
  <c r="N14" i="17" s="1"/>
  <c r="M18" i="17"/>
  <c r="M17" i="17"/>
  <c r="M16" i="17" s="1"/>
  <c r="M14" i="17" s="1"/>
  <c r="K18" i="17"/>
  <c r="J18" i="17"/>
  <c r="J17" i="17" s="1"/>
  <c r="J16" i="17" s="1"/>
  <c r="J14" i="17" s="1"/>
  <c r="G18" i="17"/>
  <c r="G17" i="17" s="1"/>
  <c r="G16" i="17" s="1"/>
  <c r="G14" i="17" s="1"/>
  <c r="F18" i="17"/>
  <c r="F17" i="17" s="1"/>
  <c r="F16" i="17" s="1"/>
  <c r="F14" i="17" s="1"/>
  <c r="I24" i="15"/>
  <c r="I53" i="15"/>
  <c r="I54" i="15"/>
  <c r="H54" i="15" s="1"/>
  <c r="W17" i="15"/>
  <c r="W15" i="15"/>
  <c r="W12" i="15" s="1"/>
  <c r="O24" i="15"/>
  <c r="O27" i="15"/>
  <c r="O28" i="15"/>
  <c r="O32" i="15"/>
  <c r="O31" i="15" s="1"/>
  <c r="O33" i="15"/>
  <c r="O34" i="15"/>
  <c r="O35" i="15"/>
  <c r="O36" i="15"/>
  <c r="O37" i="15"/>
  <c r="O38" i="15"/>
  <c r="O39" i="15"/>
  <c r="O40" i="15"/>
  <c r="O41" i="15"/>
  <c r="O42" i="15"/>
  <c r="O43" i="15"/>
  <c r="O44" i="15"/>
  <c r="O51" i="15"/>
  <c r="O52" i="15"/>
  <c r="O53" i="15"/>
  <c r="O54" i="15"/>
  <c r="O23" i="15"/>
  <c r="I51" i="15"/>
  <c r="I42" i="15"/>
  <c r="I43" i="15"/>
  <c r="I44" i="15"/>
  <c r="I45" i="15"/>
  <c r="I32" i="15"/>
  <c r="I33" i="15"/>
  <c r="I34" i="15"/>
  <c r="I41" i="15"/>
  <c r="F22" i="15"/>
  <c r="G22" i="15"/>
  <c r="K22" i="15"/>
  <c r="M22" i="15"/>
  <c r="N22" i="15"/>
  <c r="P22" i="15"/>
  <c r="Q22" i="15"/>
  <c r="R22" i="15"/>
  <c r="S22" i="15"/>
  <c r="T22" i="15"/>
  <c r="U22" i="15"/>
  <c r="V22" i="15"/>
  <c r="E23" i="15"/>
  <c r="L23" i="15"/>
  <c r="E24" i="15"/>
  <c r="L24" i="15"/>
  <c r="F26" i="15"/>
  <c r="G26" i="15"/>
  <c r="I26" i="15"/>
  <c r="J26" i="15"/>
  <c r="K26" i="15"/>
  <c r="M26" i="15"/>
  <c r="N26" i="15"/>
  <c r="P26" i="15"/>
  <c r="Q26" i="15"/>
  <c r="R26" i="15"/>
  <c r="S26" i="15"/>
  <c r="T26" i="15"/>
  <c r="U26" i="15"/>
  <c r="V26" i="15"/>
  <c r="E27" i="15"/>
  <c r="L27" i="15"/>
  <c r="H27" i="15" s="1"/>
  <c r="E28" i="15"/>
  <c r="L28" i="15"/>
  <c r="L26" i="15"/>
  <c r="E32" i="15"/>
  <c r="L32" i="15"/>
  <c r="E33" i="15"/>
  <c r="L33" i="15"/>
  <c r="E34" i="15"/>
  <c r="L34" i="15"/>
  <c r="E35" i="15"/>
  <c r="L35" i="15"/>
  <c r="H35" i="15" s="1"/>
  <c r="E36" i="15"/>
  <c r="L36" i="15"/>
  <c r="H36" i="15" s="1"/>
  <c r="E37" i="15"/>
  <c r="L37" i="15"/>
  <c r="H37" i="15"/>
  <c r="E38" i="15"/>
  <c r="L38" i="15"/>
  <c r="H38" i="15" s="1"/>
  <c r="E39" i="15"/>
  <c r="L39" i="15"/>
  <c r="H39" i="15" s="1"/>
  <c r="E40" i="15"/>
  <c r="L40" i="15"/>
  <c r="E41" i="15"/>
  <c r="L41" i="15"/>
  <c r="H41" i="15" s="1"/>
  <c r="E42" i="15"/>
  <c r="L42" i="15"/>
  <c r="H42" i="15"/>
  <c r="E43" i="15"/>
  <c r="L43" i="15"/>
  <c r="E44" i="15"/>
  <c r="L44" i="15"/>
  <c r="E45" i="15"/>
  <c r="L45" i="15"/>
  <c r="H45" i="15" s="1"/>
  <c r="L51" i="15"/>
  <c r="E52" i="15"/>
  <c r="L52" i="15"/>
  <c r="E53" i="15"/>
  <c r="L53" i="15"/>
  <c r="E54" i="15"/>
  <c r="L54" i="15"/>
  <c r="E46" i="19"/>
  <c r="D45" i="19"/>
  <c r="E45" i="19"/>
  <c r="C45" i="19"/>
  <c r="E44" i="19"/>
  <c r="D43" i="19"/>
  <c r="C43" i="19"/>
  <c r="E43" i="19" s="1"/>
  <c r="E42" i="19"/>
  <c r="D41" i="19"/>
  <c r="E41" i="19"/>
  <c r="C41" i="19"/>
  <c r="E40" i="19"/>
  <c r="D39" i="19"/>
  <c r="C39" i="19"/>
  <c r="E39" i="19" s="1"/>
  <c r="E38" i="19"/>
  <c r="E37" i="19"/>
  <c r="D36" i="19"/>
  <c r="E36" i="19" s="1"/>
  <c r="C36" i="19"/>
  <c r="E35" i="19"/>
  <c r="E34" i="19"/>
  <c r="D33" i="19"/>
  <c r="E33" i="19"/>
  <c r="C33" i="19"/>
  <c r="E32" i="19"/>
  <c r="E31" i="19"/>
  <c r="D30" i="19"/>
  <c r="E30" i="19" s="1"/>
  <c r="C30" i="19"/>
  <c r="E29" i="19"/>
  <c r="C28" i="19"/>
  <c r="E28" i="19" s="1"/>
  <c r="E27" i="19"/>
  <c r="D26" i="19"/>
  <c r="E26" i="19"/>
  <c r="C26" i="19"/>
  <c r="E25" i="19"/>
  <c r="D24" i="19"/>
  <c r="E24" i="19"/>
  <c r="C24" i="19"/>
  <c r="E23" i="19"/>
  <c r="D22" i="19"/>
  <c r="E22" i="19"/>
  <c r="C22" i="19"/>
  <c r="E21" i="19"/>
  <c r="E20" i="19"/>
  <c r="C19" i="19"/>
  <c r="E19" i="19" s="1"/>
  <c r="E18" i="19"/>
  <c r="E17" i="19"/>
  <c r="D16" i="19"/>
  <c r="C16" i="19"/>
  <c r="E16" i="19"/>
  <c r="E14" i="19"/>
  <c r="E13" i="19"/>
  <c r="E12" i="19"/>
  <c r="E11" i="19"/>
  <c r="E10" i="19"/>
  <c r="E9" i="19"/>
  <c r="D8" i="19"/>
  <c r="C8" i="19"/>
  <c r="E8" i="19" s="1"/>
  <c r="E7" i="19"/>
  <c r="F6" i="19"/>
  <c r="D6" i="19"/>
  <c r="E6" i="19" s="1"/>
  <c r="C6" i="19"/>
  <c r="C42" i="18"/>
  <c r="D42" i="18"/>
  <c r="E42" i="18" s="1"/>
  <c r="D35" i="18"/>
  <c r="C35" i="18"/>
  <c r="E35" i="18"/>
  <c r="D40" i="18"/>
  <c r="C40" i="18"/>
  <c r="D38" i="18"/>
  <c r="E38" i="18" s="1"/>
  <c r="C38" i="18"/>
  <c r="D32" i="18"/>
  <c r="E32" i="18" s="1"/>
  <c r="E30" i="18"/>
  <c r="E31" i="18"/>
  <c r="E33" i="18"/>
  <c r="E34" i="18"/>
  <c r="D44" i="18"/>
  <c r="E44" i="18"/>
  <c r="C44" i="18"/>
  <c r="C32" i="18"/>
  <c r="D29" i="18"/>
  <c r="E29" i="18" s="1"/>
  <c r="C29" i="18"/>
  <c r="E28" i="18"/>
  <c r="E36" i="18"/>
  <c r="E37" i="18"/>
  <c r="E39" i="18"/>
  <c r="E41" i="18"/>
  <c r="E43" i="18"/>
  <c r="E45" i="18"/>
  <c r="C27" i="18"/>
  <c r="E27" i="18" s="1"/>
  <c r="D25" i="18"/>
  <c r="E25" i="18" s="1"/>
  <c r="C25" i="18"/>
  <c r="D23" i="18"/>
  <c r="E23" i="18"/>
  <c r="C23" i="18"/>
  <c r="E24" i="18"/>
  <c r="E26" i="18"/>
  <c r="D21" i="18"/>
  <c r="E21" i="18" s="1"/>
  <c r="C21" i="18"/>
  <c r="E22" i="18"/>
  <c r="C18" i="18"/>
  <c r="E18" i="18" s="1"/>
  <c r="D15" i="18"/>
  <c r="C15" i="18"/>
  <c r="E6" i="18"/>
  <c r="E8" i="18"/>
  <c r="E9" i="18"/>
  <c r="E10" i="18"/>
  <c r="E11" i="18"/>
  <c r="E12" i="18"/>
  <c r="E13" i="18"/>
  <c r="E16" i="18"/>
  <c r="E17" i="18"/>
  <c r="E19" i="18"/>
  <c r="E20" i="18"/>
  <c r="D7" i="18"/>
  <c r="D5" i="18"/>
  <c r="F5" i="18"/>
  <c r="C5" i="18"/>
  <c r="C7" i="18"/>
  <c r="C4" i="18"/>
  <c r="AS14" i="16"/>
  <c r="AT14" i="16"/>
  <c r="AU14" i="16"/>
  <c r="F15" i="16"/>
  <c r="F14" i="16" s="1"/>
  <c r="F13" i="16" s="1"/>
  <c r="I15" i="16"/>
  <c r="I14" i="16"/>
  <c r="I13" i="16" s="1"/>
  <c r="K15" i="16"/>
  <c r="K14" i="16" s="1"/>
  <c r="K13" i="16" s="1"/>
  <c r="L15" i="16"/>
  <c r="L14" i="16"/>
  <c r="L13" i="16" s="1"/>
  <c r="J43" i="16"/>
  <c r="G43" i="16"/>
  <c r="P43" i="16"/>
  <c r="O43" i="16" s="1"/>
  <c r="J42" i="16"/>
  <c r="G42" i="16"/>
  <c r="P42" i="16"/>
  <c r="O42" i="16" s="1"/>
  <c r="J41" i="16"/>
  <c r="G41" i="16"/>
  <c r="J40" i="16"/>
  <c r="G40" i="16"/>
  <c r="M40" i="16"/>
  <c r="J39" i="16"/>
  <c r="G39" i="16"/>
  <c r="J38" i="16"/>
  <c r="G38" i="16"/>
  <c r="M38" i="16" s="1"/>
  <c r="J37" i="16"/>
  <c r="H37" i="16"/>
  <c r="G37" i="16"/>
  <c r="J36" i="16"/>
  <c r="H36" i="16"/>
  <c r="G36" i="16" s="1"/>
  <c r="J35" i="16"/>
  <c r="H35" i="16"/>
  <c r="G35" i="16"/>
  <c r="P35" i="16" s="1"/>
  <c r="O35" i="16" s="1"/>
  <c r="J34" i="16"/>
  <c r="H34" i="16"/>
  <c r="G34" i="16" s="1"/>
  <c r="J33" i="16"/>
  <c r="H33" i="16"/>
  <c r="G33" i="16"/>
  <c r="J32" i="16"/>
  <c r="H32" i="16"/>
  <c r="G32" i="16" s="1"/>
  <c r="J31" i="16"/>
  <c r="H31" i="16"/>
  <c r="J30" i="16"/>
  <c r="H30" i="16"/>
  <c r="G30" i="16"/>
  <c r="P30" i="16" s="1"/>
  <c r="O30" i="16" s="1"/>
  <c r="J29" i="16"/>
  <c r="H29" i="16"/>
  <c r="G29" i="16" s="1"/>
  <c r="J28" i="16"/>
  <c r="H28" i="16"/>
  <c r="G28" i="16"/>
  <c r="M28" i="16" s="1"/>
  <c r="J27" i="16"/>
  <c r="H27" i="16"/>
  <c r="G27" i="16"/>
  <c r="J26" i="16"/>
  <c r="H26" i="16"/>
  <c r="G26" i="16" s="1"/>
  <c r="M26" i="16" s="1"/>
  <c r="J25" i="16"/>
  <c r="H25" i="16"/>
  <c r="G25" i="16" s="1"/>
  <c r="N24" i="16"/>
  <c r="J24" i="16"/>
  <c r="H24" i="16"/>
  <c r="G24" i="16" s="1"/>
  <c r="N23" i="16"/>
  <c r="J23" i="16"/>
  <c r="H23" i="16"/>
  <c r="G23" i="16" s="1"/>
  <c r="N22" i="16"/>
  <c r="J22" i="16"/>
  <c r="E22" i="16"/>
  <c r="H22" i="16" s="1"/>
  <c r="G22" i="16" s="1"/>
  <c r="N21" i="16"/>
  <c r="J21" i="16"/>
  <c r="H21" i="16"/>
  <c r="G21" i="16"/>
  <c r="P21" i="16" s="1"/>
  <c r="O21" i="16" s="1"/>
  <c r="N20" i="16"/>
  <c r="J20" i="16"/>
  <c r="H20" i="16"/>
  <c r="G20" i="16"/>
  <c r="N19" i="16"/>
  <c r="J19" i="16"/>
  <c r="E19" i="16"/>
  <c r="H19" i="16"/>
  <c r="G19" i="16" s="1"/>
  <c r="N18" i="16"/>
  <c r="J18" i="16"/>
  <c r="E18" i="16"/>
  <c r="H18" i="16" s="1"/>
  <c r="G18" i="16" s="1"/>
  <c r="P18" i="16" s="1"/>
  <c r="N17" i="16"/>
  <c r="J17" i="16"/>
  <c r="H17" i="16"/>
  <c r="G17" i="16" s="1"/>
  <c r="P17" i="16" s="1"/>
  <c r="O17" i="16" s="1"/>
  <c r="N16" i="16"/>
  <c r="J16" i="16"/>
  <c r="E16" i="16"/>
  <c r="AV15" i="16"/>
  <c r="AR15" i="16"/>
  <c r="AR14" i="16" s="1"/>
  <c r="AQ15" i="16"/>
  <c r="AQ14" i="16" s="1"/>
  <c r="AQ13" i="16" s="1"/>
  <c r="AP15" i="16"/>
  <c r="AP14" i="16"/>
  <c r="AP13" i="16" s="1"/>
  <c r="AO15" i="16"/>
  <c r="AO14" i="16" s="1"/>
  <c r="AO13" i="16" s="1"/>
  <c r="AN15" i="16"/>
  <c r="AN14" i="16"/>
  <c r="AN13" i="16" s="1"/>
  <c r="AM15" i="16"/>
  <c r="AM14" i="16" s="1"/>
  <c r="AM13" i="16" s="1"/>
  <c r="AL15" i="16"/>
  <c r="AL14" i="16"/>
  <c r="AL13" i="16" s="1"/>
  <c r="AK15" i="16"/>
  <c r="AK14" i="16" s="1"/>
  <c r="AK13" i="16" s="1"/>
  <c r="AJ15" i="16"/>
  <c r="AJ14" i="16"/>
  <c r="AJ13" i="16" s="1"/>
  <c r="AI15" i="16"/>
  <c r="AI14" i="16" s="1"/>
  <c r="AI13" i="16" s="1"/>
  <c r="AH15" i="16"/>
  <c r="AH14" i="16"/>
  <c r="AH13" i="16" s="1"/>
  <c r="AG15" i="16"/>
  <c r="AG14" i="16" s="1"/>
  <c r="AG13" i="16" s="1"/>
  <c r="AF15" i="16"/>
  <c r="AF14" i="16"/>
  <c r="AF13" i="16" s="1"/>
  <c r="AE15" i="16"/>
  <c r="AE14" i="16" s="1"/>
  <c r="AE13" i="16" s="1"/>
  <c r="AD15" i="16"/>
  <c r="AD14" i="16"/>
  <c r="AD13" i="16" s="1"/>
  <c r="AC15" i="16"/>
  <c r="AC14" i="16" s="1"/>
  <c r="AC13" i="16" s="1"/>
  <c r="AB15" i="16"/>
  <c r="AB14" i="16"/>
  <c r="AB13" i="16" s="1"/>
  <c r="AA15" i="16"/>
  <c r="AA14" i="16" s="1"/>
  <c r="AA13" i="16" s="1"/>
  <c r="Z15" i="16"/>
  <c r="Z14" i="16"/>
  <c r="Z13" i="16" s="1"/>
  <c r="Y15" i="16"/>
  <c r="Y14" i="16" s="1"/>
  <c r="Y13" i="16" s="1"/>
  <c r="X15" i="16"/>
  <c r="X14" i="16"/>
  <c r="X13" i="16" s="1"/>
  <c r="W15" i="16"/>
  <c r="W14" i="16" s="1"/>
  <c r="W13" i="16" s="1"/>
  <c r="V15" i="16"/>
  <c r="V14" i="16"/>
  <c r="V13" i="16" s="1"/>
  <c r="U15" i="16"/>
  <c r="U14" i="16" s="1"/>
  <c r="U13" i="16" s="1"/>
  <c r="T15" i="16"/>
  <c r="T14" i="16"/>
  <c r="T13" i="16" s="1"/>
  <c r="S15" i="16"/>
  <c r="S14" i="16" s="1"/>
  <c r="S13" i="16" s="1"/>
  <c r="R15" i="16"/>
  <c r="R14" i="16"/>
  <c r="R13" i="16" s="1"/>
  <c r="Q15" i="16"/>
  <c r="Q14" i="16" s="1"/>
  <c r="Q13" i="16" s="1"/>
  <c r="D15" i="16"/>
  <c r="D14" i="16"/>
  <c r="D13" i="16" s="1"/>
  <c r="BC8" i="16"/>
  <c r="U89" i="3"/>
  <c r="L93" i="14"/>
  <c r="U22" i="3"/>
  <c r="O142" i="14"/>
  <c r="O141" i="14"/>
  <c r="O140" i="14"/>
  <c r="O139" i="14"/>
  <c r="O138" i="14"/>
  <c r="O137" i="14"/>
  <c r="O136" i="14"/>
  <c r="O135" i="14"/>
  <c r="O134" i="14"/>
  <c r="O133" i="14"/>
  <c r="O131" i="14"/>
  <c r="O130" i="14"/>
  <c r="O129" i="14"/>
  <c r="O128" i="14"/>
  <c r="O127" i="14"/>
  <c r="O126" i="14"/>
  <c r="O125" i="14"/>
  <c r="O124" i="14"/>
  <c r="O123" i="14"/>
  <c r="O122" i="14"/>
  <c r="O121" i="14"/>
  <c r="O120" i="14"/>
  <c r="O119" i="14"/>
  <c r="O118" i="14"/>
  <c r="O117" i="14"/>
  <c r="O116" i="14"/>
  <c r="O115" i="14"/>
  <c r="O114" i="14"/>
  <c r="O113" i="14"/>
  <c r="O112" i="14"/>
  <c r="O110" i="14"/>
  <c r="O109" i="14"/>
  <c r="O108" i="14"/>
  <c r="O107" i="14"/>
  <c r="O106" i="14"/>
  <c r="O105" i="14"/>
  <c r="O104" i="14"/>
  <c r="O103" i="14"/>
  <c r="O102" i="14"/>
  <c r="O101" i="14"/>
  <c r="O100" i="14"/>
  <c r="O99" i="14" s="1"/>
  <c r="O98" i="14"/>
  <c r="O97" i="14"/>
  <c r="O96" i="14"/>
  <c r="O95" i="14"/>
  <c r="O94" i="14"/>
  <c r="O93" i="14"/>
  <c r="O92" i="14"/>
  <c r="O91" i="14"/>
  <c r="O90" i="14"/>
  <c r="O89" i="14"/>
  <c r="O88" i="14"/>
  <c r="O87" i="14"/>
  <c r="O86" i="14"/>
  <c r="O83" i="14"/>
  <c r="O82" i="14"/>
  <c r="O81" i="14"/>
  <c r="O79" i="14"/>
  <c r="O78" i="14" s="1"/>
  <c r="O77" i="14"/>
  <c r="O76" i="14"/>
  <c r="O75" i="14"/>
  <c r="O73" i="14"/>
  <c r="O72" i="14"/>
  <c r="O71" i="14"/>
  <c r="O70" i="14"/>
  <c r="O69" i="14"/>
  <c r="O68" i="14"/>
  <c r="O67" i="14"/>
  <c r="O63" i="14"/>
  <c r="O62" i="14"/>
  <c r="O60" i="14"/>
  <c r="O59" i="14"/>
  <c r="O58" i="14"/>
  <c r="O57" i="14"/>
  <c r="O56" i="14"/>
  <c r="O55" i="14"/>
  <c r="O54" i="14"/>
  <c r="O52" i="14"/>
  <c r="O51" i="14"/>
  <c r="O50" i="14"/>
  <c r="O49" i="14"/>
  <c r="O48" i="14"/>
  <c r="O47" i="14"/>
  <c r="O46" i="14"/>
  <c r="O45" i="14"/>
  <c r="O44" i="14"/>
  <c r="O43" i="14"/>
  <c r="O42" i="14"/>
  <c r="O41" i="14"/>
  <c r="O40" i="14"/>
  <c r="O39" i="14"/>
  <c r="O38" i="14"/>
  <c r="O37" i="14"/>
  <c r="O36" i="14"/>
  <c r="O35" i="14"/>
  <c r="O34" i="14"/>
  <c r="O33" i="14"/>
  <c r="O32" i="14"/>
  <c r="O31" i="14"/>
  <c r="O30" i="14" s="1"/>
  <c r="O28" i="14"/>
  <c r="O27" i="14"/>
  <c r="O26" i="14"/>
  <c r="O25" i="14"/>
  <c r="O24" i="14"/>
  <c r="O23" i="14"/>
  <c r="O22" i="14"/>
  <c r="O21" i="14"/>
  <c r="O19" i="14"/>
  <c r="O18" i="14"/>
  <c r="O17" i="14"/>
  <c r="O16" i="14"/>
  <c r="O15" i="14"/>
  <c r="K83" i="14"/>
  <c r="J83" i="14"/>
  <c r="K82" i="14"/>
  <c r="J82" i="14"/>
  <c r="K81" i="14"/>
  <c r="K77" i="14"/>
  <c r="J77" i="14" s="1"/>
  <c r="K76" i="14"/>
  <c r="K73" i="14"/>
  <c r="J73" i="14"/>
  <c r="K72" i="14"/>
  <c r="J72" i="14"/>
  <c r="K71" i="14"/>
  <c r="J71" i="14"/>
  <c r="K70" i="14"/>
  <c r="J70" i="14"/>
  <c r="K69" i="14"/>
  <c r="J69" i="14"/>
  <c r="L68" i="14"/>
  <c r="J68" i="14" s="1"/>
  <c r="K16" i="14"/>
  <c r="W12" i="3"/>
  <c r="W79" i="3"/>
  <c r="W78" i="3"/>
  <c r="S17" i="3"/>
  <c r="S20" i="3"/>
  <c r="Q20" i="3"/>
  <c r="V20" i="3" s="1"/>
  <c r="G119" i="3"/>
  <c r="E119" i="3" s="1"/>
  <c r="K37" i="12" s="1"/>
  <c r="G112" i="3"/>
  <c r="E112" i="3" s="1"/>
  <c r="O112" i="3" s="1"/>
  <c r="G118" i="3"/>
  <c r="G108" i="3"/>
  <c r="S12" i="3"/>
  <c r="G50" i="3"/>
  <c r="E50" i="3" s="1"/>
  <c r="U48" i="3"/>
  <c r="U85" i="3"/>
  <c r="U15" i="3"/>
  <c r="G126" i="3"/>
  <c r="G132" i="3"/>
  <c r="G131" i="3"/>
  <c r="E131" i="3"/>
  <c r="G99" i="3"/>
  <c r="G110" i="3"/>
  <c r="G134" i="3"/>
  <c r="E134" i="3"/>
  <c r="G127" i="3"/>
  <c r="E127" i="3"/>
  <c r="O127" i="3" s="1"/>
  <c r="G135" i="3"/>
  <c r="K138" i="3"/>
  <c r="K137" i="3"/>
  <c r="K136" i="3" s="1"/>
  <c r="K68" i="3"/>
  <c r="K67" i="3"/>
  <c r="K66" i="3"/>
  <c r="K65" i="3"/>
  <c r="K64" i="3"/>
  <c r="K63" i="3"/>
  <c r="K62" i="3"/>
  <c r="K61" i="3"/>
  <c r="K60" i="3"/>
  <c r="K59" i="3"/>
  <c r="K58" i="3"/>
  <c r="K57" i="3"/>
  <c r="K56" i="3"/>
  <c r="K55" i="3"/>
  <c r="K54" i="3"/>
  <c r="K53" i="3"/>
  <c r="K52" i="3"/>
  <c r="K51" i="3"/>
  <c r="K50" i="3"/>
  <c r="K49" i="3"/>
  <c r="K47" i="3"/>
  <c r="G64" i="3"/>
  <c r="E64" i="3"/>
  <c r="G93" i="3"/>
  <c r="E93" i="3"/>
  <c r="O93" i="3" s="1"/>
  <c r="G138" i="3"/>
  <c r="L63" i="14"/>
  <c r="J63" i="14"/>
  <c r="L62" i="14"/>
  <c r="AR63" i="14"/>
  <c r="AR62" i="14"/>
  <c r="AQ63" i="14"/>
  <c r="AQ62" i="14"/>
  <c r="Q61" i="14"/>
  <c r="P61" i="14"/>
  <c r="K61" i="14"/>
  <c r="H61" i="14"/>
  <c r="F61" i="14"/>
  <c r="E61" i="14"/>
  <c r="I63" i="14"/>
  <c r="G63" i="14" s="1"/>
  <c r="I62" i="14"/>
  <c r="U77" i="3"/>
  <c r="T77" i="3"/>
  <c r="S77" i="3"/>
  <c r="R77" i="3"/>
  <c r="L77" i="3"/>
  <c r="J77" i="3"/>
  <c r="I77" i="3"/>
  <c r="H77" i="3"/>
  <c r="F77" i="3"/>
  <c r="K79" i="3"/>
  <c r="K78" i="3"/>
  <c r="G79" i="3"/>
  <c r="G78" i="3"/>
  <c r="Q79" i="3"/>
  <c r="Q78" i="3"/>
  <c r="V78" i="3"/>
  <c r="G130" i="3"/>
  <c r="G128" i="3"/>
  <c r="G113" i="3"/>
  <c r="E68" i="3"/>
  <c r="D52" i="14" s="1"/>
  <c r="E67" i="3"/>
  <c r="D51" i="14" s="1"/>
  <c r="E66" i="3"/>
  <c r="D50" i="14" s="1"/>
  <c r="E65" i="3"/>
  <c r="D49" i="14" s="1"/>
  <c r="E63" i="3"/>
  <c r="D47" i="14" s="1"/>
  <c r="E62" i="3"/>
  <c r="D46" i="14" s="1"/>
  <c r="N46" i="14"/>
  <c r="E61" i="3"/>
  <c r="D45" i="14"/>
  <c r="N45" i="14" s="1"/>
  <c r="E60" i="3"/>
  <c r="D44" i="14" s="1"/>
  <c r="N44" i="14"/>
  <c r="E59" i="3"/>
  <c r="D43" i="14"/>
  <c r="N43" i="14" s="1"/>
  <c r="E58" i="3"/>
  <c r="O58" i="3" s="1"/>
  <c r="E57" i="3"/>
  <c r="E56" i="3"/>
  <c r="D40" i="14"/>
  <c r="E55" i="3"/>
  <c r="D39" i="14"/>
  <c r="E54" i="3"/>
  <c r="D38" i="14"/>
  <c r="E53" i="3"/>
  <c r="E52" i="3"/>
  <c r="O52" i="3" s="1"/>
  <c r="E51" i="3"/>
  <c r="E49" i="3"/>
  <c r="Q24" i="13"/>
  <c r="Q35" i="12"/>
  <c r="Q34" i="12"/>
  <c r="G137" i="3"/>
  <c r="Q30" i="14"/>
  <c r="P30" i="14"/>
  <c r="K30" i="14"/>
  <c r="H30" i="14"/>
  <c r="F30" i="14"/>
  <c r="E30" i="14"/>
  <c r="AR52" i="14"/>
  <c r="AQ52" i="14"/>
  <c r="AR51" i="14"/>
  <c r="AQ51" i="14"/>
  <c r="AR50" i="14"/>
  <c r="AQ50" i="14"/>
  <c r="AR49" i="14"/>
  <c r="AQ49" i="14"/>
  <c r="I52" i="14"/>
  <c r="G52" i="14"/>
  <c r="I51" i="14"/>
  <c r="G51" i="14"/>
  <c r="I50" i="14"/>
  <c r="G50" i="14"/>
  <c r="I49" i="14"/>
  <c r="AR46" i="14"/>
  <c r="AR45" i="14"/>
  <c r="AR44" i="14"/>
  <c r="AR43" i="14"/>
  <c r="AR42" i="14"/>
  <c r="AQ46" i="14"/>
  <c r="AQ45" i="14"/>
  <c r="AQ44" i="14"/>
  <c r="AQ43" i="14"/>
  <c r="AQ42" i="14"/>
  <c r="L46" i="14"/>
  <c r="J46" i="14" s="1"/>
  <c r="L45" i="14"/>
  <c r="J45" i="14" s="1"/>
  <c r="L44" i="14"/>
  <c r="J44" i="14" s="1"/>
  <c r="L43" i="14"/>
  <c r="J43" i="14" s="1"/>
  <c r="M43" i="14"/>
  <c r="L42" i="14"/>
  <c r="J42" i="14"/>
  <c r="I46" i="14"/>
  <c r="G46" i="14"/>
  <c r="I45" i="14"/>
  <c r="G45" i="14"/>
  <c r="I44" i="14"/>
  <c r="G44" i="14"/>
  <c r="I43" i="14"/>
  <c r="G43" i="14"/>
  <c r="I42" i="14"/>
  <c r="W46" i="3"/>
  <c r="T46" i="3"/>
  <c r="S46" i="3"/>
  <c r="R46" i="3"/>
  <c r="L46" i="3"/>
  <c r="J46" i="3"/>
  <c r="I46" i="3"/>
  <c r="H46" i="3"/>
  <c r="F46" i="3"/>
  <c r="Q68" i="3"/>
  <c r="Q67" i="3"/>
  <c r="Q66" i="3"/>
  <c r="Q65" i="3"/>
  <c r="Q62" i="3"/>
  <c r="Q61" i="3"/>
  <c r="Q60" i="3"/>
  <c r="Q59" i="3"/>
  <c r="Q58" i="3"/>
  <c r="K27" i="14"/>
  <c r="L25" i="14"/>
  <c r="J25" i="14" s="1"/>
  <c r="L24" i="14"/>
  <c r="J24" i="14" s="1"/>
  <c r="L67" i="14"/>
  <c r="J67" i="14" s="1"/>
  <c r="G12" i="3"/>
  <c r="E138" i="3"/>
  <c r="D142" i="14"/>
  <c r="U40" i="3"/>
  <c r="T40" i="3"/>
  <c r="S40" i="3"/>
  <c r="R40" i="3"/>
  <c r="J40" i="3"/>
  <c r="I40" i="3"/>
  <c r="H40" i="3"/>
  <c r="F40" i="3"/>
  <c r="W136" i="3"/>
  <c r="U136" i="3"/>
  <c r="T136" i="3"/>
  <c r="S136" i="3"/>
  <c r="R136" i="3"/>
  <c r="W43" i="3"/>
  <c r="W42" i="3"/>
  <c r="W40" i="3" s="1"/>
  <c r="W41" i="3"/>
  <c r="W39" i="3"/>
  <c r="W38" i="3"/>
  <c r="W37" i="3"/>
  <c r="W36" i="3"/>
  <c r="W35" i="3"/>
  <c r="W33" i="3"/>
  <c r="W32" i="3"/>
  <c r="W31" i="3"/>
  <c r="W30" i="3"/>
  <c r="W29" i="3"/>
  <c r="W28" i="3"/>
  <c r="W27" i="3"/>
  <c r="W24" i="3"/>
  <c r="W23" i="3"/>
  <c r="W21" i="3"/>
  <c r="W20" i="3"/>
  <c r="W19" i="3"/>
  <c r="W18" i="3"/>
  <c r="W17" i="3"/>
  <c r="W14" i="3"/>
  <c r="L142" i="14"/>
  <c r="J142" i="14"/>
  <c r="L141" i="14"/>
  <c r="AR142" i="14"/>
  <c r="AR141" i="14"/>
  <c r="AQ142" i="14"/>
  <c r="AQ141" i="14"/>
  <c r="N140" i="14"/>
  <c r="K140" i="14"/>
  <c r="H140" i="14"/>
  <c r="F140" i="14"/>
  <c r="E140" i="14"/>
  <c r="I142" i="14"/>
  <c r="I141" i="14"/>
  <c r="J136" i="3"/>
  <c r="I136" i="3"/>
  <c r="H136" i="3"/>
  <c r="F136" i="3"/>
  <c r="O136" i="3"/>
  <c r="N136" i="3"/>
  <c r="M136" i="3"/>
  <c r="L136" i="3"/>
  <c r="Q138" i="3"/>
  <c r="Q137" i="3"/>
  <c r="Q136" i="3" s="1"/>
  <c r="Q132" i="14"/>
  <c r="P132" i="14"/>
  <c r="K132" i="14"/>
  <c r="H132" i="14"/>
  <c r="F132" i="14"/>
  <c r="E132" i="14"/>
  <c r="Q127" i="14"/>
  <c r="P127" i="14"/>
  <c r="K127" i="14"/>
  <c r="H127" i="14"/>
  <c r="F127" i="14"/>
  <c r="E127" i="14"/>
  <c r="Q111" i="14"/>
  <c r="P111" i="14"/>
  <c r="K111" i="14"/>
  <c r="H111" i="14"/>
  <c r="H84" i="14" s="1"/>
  <c r="F111" i="14"/>
  <c r="E111" i="14"/>
  <c r="Q104" i="14"/>
  <c r="P104" i="14"/>
  <c r="K104" i="14"/>
  <c r="H104" i="14"/>
  <c r="F104" i="14"/>
  <c r="E104" i="14"/>
  <c r="Q99" i="14"/>
  <c r="P99" i="14"/>
  <c r="K99" i="14"/>
  <c r="H99" i="14"/>
  <c r="F99" i="14"/>
  <c r="E99" i="14"/>
  <c r="Q85" i="14"/>
  <c r="P85" i="14"/>
  <c r="K85" i="14"/>
  <c r="H85" i="14"/>
  <c r="F85" i="14"/>
  <c r="F84" i="14" s="1"/>
  <c r="E85" i="14"/>
  <c r="Q80" i="14"/>
  <c r="P80" i="14"/>
  <c r="F80" i="14"/>
  <c r="E80" i="14"/>
  <c r="Q78" i="14"/>
  <c r="P78" i="14"/>
  <c r="K78" i="14"/>
  <c r="H78" i="14"/>
  <c r="F78" i="14"/>
  <c r="E78" i="14"/>
  <c r="Q74" i="14"/>
  <c r="P74" i="14"/>
  <c r="F74" i="14"/>
  <c r="E74" i="14"/>
  <c r="Q66" i="14"/>
  <c r="P66" i="14"/>
  <c r="F66" i="14"/>
  <c r="E66" i="14"/>
  <c r="Q56" i="14"/>
  <c r="P56" i="14"/>
  <c r="K56" i="14"/>
  <c r="H56" i="14"/>
  <c r="F56" i="14"/>
  <c r="E56" i="14"/>
  <c r="Q53" i="14"/>
  <c r="Q29" i="14"/>
  <c r="P53" i="14"/>
  <c r="P29" i="14" s="1"/>
  <c r="K53" i="14"/>
  <c r="K29" i="14" s="1"/>
  <c r="H53" i="14"/>
  <c r="F53" i="14"/>
  <c r="E53" i="14"/>
  <c r="E29" i="14"/>
  <c r="Q20" i="14"/>
  <c r="P20" i="14"/>
  <c r="F20" i="14"/>
  <c r="E20" i="14"/>
  <c r="Q17" i="14"/>
  <c r="P17" i="14"/>
  <c r="K17" i="14"/>
  <c r="F17" i="14"/>
  <c r="E17" i="14"/>
  <c r="AV139" i="14"/>
  <c r="AV138" i="14"/>
  <c r="AV137" i="14"/>
  <c r="AV136" i="14"/>
  <c r="AV135" i="14"/>
  <c r="AV134" i="14"/>
  <c r="AV133" i="14"/>
  <c r="N133" i="14" s="1"/>
  <c r="AV131" i="14"/>
  <c r="AV130" i="14"/>
  <c r="AV129" i="14"/>
  <c r="AV128" i="14"/>
  <c r="AV126" i="14"/>
  <c r="AV125" i="14"/>
  <c r="AV124" i="14"/>
  <c r="AV123" i="14"/>
  <c r="AV122" i="14"/>
  <c r="AV121" i="14"/>
  <c r="AV120" i="14"/>
  <c r="AV119" i="14"/>
  <c r="AV118" i="14"/>
  <c r="AV117" i="14"/>
  <c r="AV116" i="14"/>
  <c r="AV115" i="14"/>
  <c r="AV114" i="14"/>
  <c r="AV113" i="14"/>
  <c r="AV112" i="14"/>
  <c r="AV110" i="14"/>
  <c r="AV109" i="14"/>
  <c r="AV108" i="14"/>
  <c r="AV107" i="14"/>
  <c r="AV106" i="14"/>
  <c r="AV105" i="14"/>
  <c r="AV103" i="14"/>
  <c r="AV102" i="14"/>
  <c r="AV101" i="14"/>
  <c r="AV100" i="14"/>
  <c r="AV98" i="14"/>
  <c r="AV97" i="14"/>
  <c r="AV96" i="14"/>
  <c r="AV95" i="14"/>
  <c r="AV94" i="14"/>
  <c r="AV93" i="14"/>
  <c r="AV92" i="14"/>
  <c r="AV91" i="14"/>
  <c r="AV90" i="14"/>
  <c r="AV89" i="14"/>
  <c r="AV88" i="14"/>
  <c r="AV87" i="14"/>
  <c r="AV86" i="14"/>
  <c r="AV83" i="14"/>
  <c r="AV82" i="14"/>
  <c r="AV81" i="14"/>
  <c r="AV79" i="14"/>
  <c r="AV77" i="14"/>
  <c r="AV76" i="14"/>
  <c r="AV75" i="14"/>
  <c r="AV73" i="14"/>
  <c r="AV72" i="14"/>
  <c r="AV71" i="14"/>
  <c r="AV70" i="14"/>
  <c r="AV69" i="14"/>
  <c r="AV68" i="14"/>
  <c r="AV67" i="14"/>
  <c r="AV60" i="14"/>
  <c r="AV59" i="14"/>
  <c r="AV58" i="14"/>
  <c r="AV55" i="14"/>
  <c r="AV54" i="14"/>
  <c r="AV48" i="14"/>
  <c r="AV47" i="14"/>
  <c r="N47" i="14" s="1"/>
  <c r="AV41" i="14"/>
  <c r="AV40" i="14"/>
  <c r="AV39" i="14"/>
  <c r="AV38" i="14"/>
  <c r="N38" i="14" s="1"/>
  <c r="AV37" i="14"/>
  <c r="N37" i="14" s="1"/>
  <c r="AV36" i="14"/>
  <c r="AV35" i="14"/>
  <c r="AV34" i="14"/>
  <c r="AV33" i="14"/>
  <c r="AV32" i="14"/>
  <c r="AV31" i="14"/>
  <c r="AV28" i="14"/>
  <c r="AV27" i="14"/>
  <c r="AV26" i="14"/>
  <c r="AV25" i="14"/>
  <c r="AV24" i="14"/>
  <c r="AV23" i="14"/>
  <c r="AV22" i="14"/>
  <c r="AV21" i="14"/>
  <c r="AV19" i="14"/>
  <c r="AV18" i="14"/>
  <c r="AV16" i="14"/>
  <c r="Q15" i="14"/>
  <c r="Q14" i="14" s="1"/>
  <c r="P15" i="14"/>
  <c r="P14" i="14" s="1"/>
  <c r="P13" i="14" s="1"/>
  <c r="K15" i="14"/>
  <c r="F15" i="14"/>
  <c r="F14" i="14" s="1"/>
  <c r="E15" i="14"/>
  <c r="AR105" i="14"/>
  <c r="AR110" i="14"/>
  <c r="AR108" i="14"/>
  <c r="AR139" i="14"/>
  <c r="AR138" i="14"/>
  <c r="AR137" i="14"/>
  <c r="AR136" i="14"/>
  <c r="AR135" i="14"/>
  <c r="AR134" i="14"/>
  <c r="AR133" i="14"/>
  <c r="AR131" i="14"/>
  <c r="AR130" i="14"/>
  <c r="AR129" i="14"/>
  <c r="AR128" i="14"/>
  <c r="AR126" i="14"/>
  <c r="AR125" i="14"/>
  <c r="AR124" i="14"/>
  <c r="AR123" i="14"/>
  <c r="AR122" i="14"/>
  <c r="AR121" i="14"/>
  <c r="AR120" i="14"/>
  <c r="AR119" i="14"/>
  <c r="AR118" i="14"/>
  <c r="AR117" i="14"/>
  <c r="AR116" i="14"/>
  <c r="AR115" i="14"/>
  <c r="AR114" i="14"/>
  <c r="AR113" i="14"/>
  <c r="AR112" i="14"/>
  <c r="AR109" i="14"/>
  <c r="AR107" i="14"/>
  <c r="AR106" i="14"/>
  <c r="AR103" i="14"/>
  <c r="AR102" i="14"/>
  <c r="AR101" i="14"/>
  <c r="AR100" i="14"/>
  <c r="AR98" i="14"/>
  <c r="AR97" i="14"/>
  <c r="AR96" i="14"/>
  <c r="AR95" i="14"/>
  <c r="AR94" i="14"/>
  <c r="AR93" i="14"/>
  <c r="AR92" i="14"/>
  <c r="AR91" i="14"/>
  <c r="AR90" i="14"/>
  <c r="AR89" i="14"/>
  <c r="AR88" i="14"/>
  <c r="AR87" i="14"/>
  <c r="AR86" i="14"/>
  <c r="AR83" i="14"/>
  <c r="AR82" i="14"/>
  <c r="AR81" i="14"/>
  <c r="AR79" i="14"/>
  <c r="AR77" i="14"/>
  <c r="AR76" i="14"/>
  <c r="AR75" i="14"/>
  <c r="AR73" i="14"/>
  <c r="AR72" i="14"/>
  <c r="AR71" i="14"/>
  <c r="AR70" i="14"/>
  <c r="AR69" i="14"/>
  <c r="AR68" i="14"/>
  <c r="AR67" i="14"/>
  <c r="AR60" i="14"/>
  <c r="AR59" i="14"/>
  <c r="AR58" i="14"/>
  <c r="AR55" i="14"/>
  <c r="AR54" i="14"/>
  <c r="AR48" i="14"/>
  <c r="AR47" i="14"/>
  <c r="AR41" i="14"/>
  <c r="AR40" i="14"/>
  <c r="AR39" i="14"/>
  <c r="AR38" i="14"/>
  <c r="AR37" i="14"/>
  <c r="AR36" i="14"/>
  <c r="AR35" i="14"/>
  <c r="AR34" i="14"/>
  <c r="AR33" i="14"/>
  <c r="AR32" i="14"/>
  <c r="AR31" i="14"/>
  <c r="AR28" i="14"/>
  <c r="AR27" i="14"/>
  <c r="AR26" i="14"/>
  <c r="AR25" i="14"/>
  <c r="AR24" i="14"/>
  <c r="AR23" i="14"/>
  <c r="AR22" i="14"/>
  <c r="AR21" i="14"/>
  <c r="AR19" i="14"/>
  <c r="AR18" i="14"/>
  <c r="AR16" i="14"/>
  <c r="AQ139" i="14"/>
  <c r="AQ138" i="14"/>
  <c r="AQ137" i="14"/>
  <c r="AQ136" i="14"/>
  <c r="AQ135" i="14"/>
  <c r="AQ134" i="14"/>
  <c r="AQ133" i="14"/>
  <c r="AQ131" i="14"/>
  <c r="AQ130" i="14"/>
  <c r="AQ129" i="14"/>
  <c r="AQ128" i="14"/>
  <c r="AQ126" i="14"/>
  <c r="AQ125" i="14"/>
  <c r="AQ124" i="14"/>
  <c r="AQ123" i="14"/>
  <c r="AQ122" i="14"/>
  <c r="AQ121" i="14"/>
  <c r="AQ120" i="14"/>
  <c r="AQ119" i="14"/>
  <c r="AQ118" i="14"/>
  <c r="AQ117" i="14"/>
  <c r="AQ116" i="14"/>
  <c r="AQ115" i="14"/>
  <c r="AQ114" i="14"/>
  <c r="AQ113" i="14"/>
  <c r="AQ112" i="14"/>
  <c r="AQ110" i="14"/>
  <c r="AQ109" i="14"/>
  <c r="AQ108" i="14"/>
  <c r="AQ107" i="14"/>
  <c r="AQ106" i="14"/>
  <c r="AQ105" i="14"/>
  <c r="AQ103" i="14"/>
  <c r="AQ102" i="14"/>
  <c r="AQ101" i="14"/>
  <c r="AQ100" i="14"/>
  <c r="AQ98" i="14"/>
  <c r="AQ97" i="14"/>
  <c r="AQ96" i="14"/>
  <c r="AQ95" i="14"/>
  <c r="AQ94" i="14"/>
  <c r="AQ93" i="14"/>
  <c r="AQ92" i="14"/>
  <c r="AQ91" i="14"/>
  <c r="AQ90" i="14"/>
  <c r="AQ89" i="14"/>
  <c r="AQ88" i="14"/>
  <c r="AQ87" i="14"/>
  <c r="AQ86" i="14"/>
  <c r="AQ83" i="14"/>
  <c r="AQ82" i="14"/>
  <c r="AQ81" i="14"/>
  <c r="AQ79" i="14"/>
  <c r="AQ77" i="14"/>
  <c r="AQ76" i="14"/>
  <c r="AQ75" i="14"/>
  <c r="AQ73" i="14"/>
  <c r="AQ72" i="14"/>
  <c r="AQ71" i="14"/>
  <c r="AQ70" i="14"/>
  <c r="AQ69" i="14"/>
  <c r="AQ68" i="14"/>
  <c r="AQ67" i="14"/>
  <c r="AQ60" i="14"/>
  <c r="AQ59" i="14"/>
  <c r="AQ58" i="14"/>
  <c r="AQ55" i="14"/>
  <c r="AQ54" i="14"/>
  <c r="AQ48" i="14"/>
  <c r="AQ47" i="14"/>
  <c r="AQ41" i="14"/>
  <c r="AQ40" i="14"/>
  <c r="AQ39" i="14"/>
  <c r="AQ38" i="14"/>
  <c r="AQ37" i="14"/>
  <c r="AQ36" i="14"/>
  <c r="AQ35" i="14"/>
  <c r="AQ34" i="14"/>
  <c r="AQ33" i="14"/>
  <c r="AQ32" i="14"/>
  <c r="AQ31" i="14"/>
  <c r="AQ28" i="14"/>
  <c r="AQ27" i="14"/>
  <c r="AQ26" i="14"/>
  <c r="AQ25" i="14"/>
  <c r="AQ24" i="14"/>
  <c r="AQ23" i="14"/>
  <c r="AQ22" i="14"/>
  <c r="AQ21" i="14"/>
  <c r="AQ19" i="14"/>
  <c r="AQ18" i="14"/>
  <c r="AQ16" i="14"/>
  <c r="G47" i="3"/>
  <c r="E47" i="3"/>
  <c r="O47" i="3" s="1"/>
  <c r="L139" i="14"/>
  <c r="J139" i="14" s="1"/>
  <c r="L138" i="14"/>
  <c r="J138" i="14" s="1"/>
  <c r="L137" i="14"/>
  <c r="J137" i="14"/>
  <c r="M137" i="14" s="1"/>
  <c r="L136" i="14"/>
  <c r="L135" i="14"/>
  <c r="J135" i="14"/>
  <c r="L134" i="14"/>
  <c r="L133" i="14"/>
  <c r="J133" i="14" s="1"/>
  <c r="L130" i="14"/>
  <c r="J130" i="14" s="1"/>
  <c r="L129" i="14"/>
  <c r="L128" i="14"/>
  <c r="L126" i="14"/>
  <c r="J126" i="14" s="1"/>
  <c r="L125" i="14"/>
  <c r="L124" i="14"/>
  <c r="J124" i="14"/>
  <c r="L123" i="14"/>
  <c r="J123" i="14" s="1"/>
  <c r="L122" i="14"/>
  <c r="J122" i="14" s="1"/>
  <c r="L121" i="14"/>
  <c r="J121" i="14" s="1"/>
  <c r="L120" i="14"/>
  <c r="J120" i="14" s="1"/>
  <c r="M120" i="14" s="1"/>
  <c r="L119" i="14"/>
  <c r="J119" i="14"/>
  <c r="L118" i="14"/>
  <c r="J118" i="14"/>
  <c r="L117" i="14"/>
  <c r="J117" i="14"/>
  <c r="L116" i="14"/>
  <c r="J116" i="14"/>
  <c r="M116" i="14" s="1"/>
  <c r="L115" i="14"/>
  <c r="J115" i="14" s="1"/>
  <c r="L114" i="14"/>
  <c r="J114" i="14" s="1"/>
  <c r="L113" i="14"/>
  <c r="L112" i="14"/>
  <c r="J112" i="14"/>
  <c r="M112" i="14" s="1"/>
  <c r="L110" i="14"/>
  <c r="J110" i="14" s="1"/>
  <c r="L109" i="14"/>
  <c r="J109" i="14" s="1"/>
  <c r="L108" i="14"/>
  <c r="J108" i="14" s="1"/>
  <c r="M108" i="14" s="1"/>
  <c r="L107" i="14"/>
  <c r="J107" i="14" s="1"/>
  <c r="L106" i="14"/>
  <c r="L105" i="14"/>
  <c r="J105" i="14"/>
  <c r="L103" i="14"/>
  <c r="J103" i="14" s="1"/>
  <c r="L102" i="14"/>
  <c r="J102" i="14" s="1"/>
  <c r="L101" i="14"/>
  <c r="L100" i="14"/>
  <c r="L98" i="14"/>
  <c r="J98" i="14" s="1"/>
  <c r="L97" i="14"/>
  <c r="J97" i="14" s="1"/>
  <c r="L96" i="14"/>
  <c r="J96" i="14" s="1"/>
  <c r="L95" i="14"/>
  <c r="J95" i="14" s="1"/>
  <c r="L94" i="14"/>
  <c r="J94" i="14" s="1"/>
  <c r="J93" i="14"/>
  <c r="L92" i="14"/>
  <c r="J92" i="14"/>
  <c r="L91" i="14"/>
  <c r="J91" i="14"/>
  <c r="M91" i="14" s="1"/>
  <c r="L90" i="14"/>
  <c r="J90" i="14"/>
  <c r="L88" i="14"/>
  <c r="J88" i="14" s="1"/>
  <c r="L87" i="14"/>
  <c r="J87" i="14" s="1"/>
  <c r="L86" i="14"/>
  <c r="J86" i="14" s="1"/>
  <c r="L79" i="14"/>
  <c r="L78" i="14"/>
  <c r="J79" i="14"/>
  <c r="L75" i="14"/>
  <c r="L74" i="14"/>
  <c r="L57" i="14"/>
  <c r="L56" i="14"/>
  <c r="L55" i="14"/>
  <c r="J55" i="14"/>
  <c r="L54" i="14"/>
  <c r="L48" i="14"/>
  <c r="J48" i="14" s="1"/>
  <c r="L47" i="14"/>
  <c r="J47" i="14" s="1"/>
  <c r="M47" i="14" s="1"/>
  <c r="L41" i="14"/>
  <c r="J41" i="14"/>
  <c r="L40" i="14"/>
  <c r="J40" i="14"/>
  <c r="L39" i="14"/>
  <c r="J39" i="14"/>
  <c r="L38" i="14"/>
  <c r="J38" i="14"/>
  <c r="L37" i="14"/>
  <c r="J37" i="14"/>
  <c r="L36" i="14"/>
  <c r="L35" i="14"/>
  <c r="J35" i="14" s="1"/>
  <c r="L34" i="14"/>
  <c r="J34" i="14" s="1"/>
  <c r="L33" i="14"/>
  <c r="L32" i="14"/>
  <c r="J32" i="14"/>
  <c r="L31" i="14"/>
  <c r="J31" i="14"/>
  <c r="L28" i="14"/>
  <c r="J28" i="14" s="1"/>
  <c r="L23" i="14"/>
  <c r="J23" i="14" s="1"/>
  <c r="L22" i="14"/>
  <c r="J22" i="14" s="1"/>
  <c r="L21" i="14"/>
  <c r="J60" i="14"/>
  <c r="J59" i="14"/>
  <c r="J58" i="14"/>
  <c r="L18" i="14"/>
  <c r="J18" i="14"/>
  <c r="L15" i="14"/>
  <c r="I139" i="14"/>
  <c r="G139" i="14"/>
  <c r="I138" i="14"/>
  <c r="G138" i="14"/>
  <c r="I137" i="14"/>
  <c r="I136" i="14"/>
  <c r="G136" i="14" s="1"/>
  <c r="I135" i="14"/>
  <c r="G135" i="14" s="1"/>
  <c r="I134" i="14"/>
  <c r="G134" i="14" s="1"/>
  <c r="I133" i="14"/>
  <c r="G133" i="14" s="1"/>
  <c r="G132" i="14" s="1"/>
  <c r="I131" i="14"/>
  <c r="G131" i="14"/>
  <c r="I130" i="14"/>
  <c r="I129" i="14"/>
  <c r="G129" i="14" s="1"/>
  <c r="I128" i="14"/>
  <c r="G128" i="14" s="1"/>
  <c r="I126" i="14"/>
  <c r="G126" i="14" s="1"/>
  <c r="I125" i="14"/>
  <c r="G125" i="14" s="1"/>
  <c r="I124" i="14"/>
  <c r="G124" i="14" s="1"/>
  <c r="I123" i="14"/>
  <c r="G123" i="14" s="1"/>
  <c r="I122" i="14"/>
  <c r="G122" i="14" s="1"/>
  <c r="I121" i="14"/>
  <c r="I120" i="14"/>
  <c r="G120" i="14"/>
  <c r="I119" i="14"/>
  <c r="G119" i="14"/>
  <c r="I118" i="14"/>
  <c r="G118" i="14"/>
  <c r="M118" i="14" s="1"/>
  <c r="I117" i="14"/>
  <c r="G117" i="14" s="1"/>
  <c r="I116" i="14"/>
  <c r="G116" i="14" s="1"/>
  <c r="I115" i="14"/>
  <c r="G115" i="14" s="1"/>
  <c r="I114" i="14"/>
  <c r="G114" i="14" s="1"/>
  <c r="G111" i="14" s="1"/>
  <c r="I113" i="14"/>
  <c r="G113" i="14" s="1"/>
  <c r="I112" i="14"/>
  <c r="G112" i="14"/>
  <c r="I110" i="14"/>
  <c r="G110" i="14"/>
  <c r="I109" i="14"/>
  <c r="G109" i="14" s="1"/>
  <c r="I108" i="14"/>
  <c r="G108" i="14" s="1"/>
  <c r="I107" i="14"/>
  <c r="G107" i="14"/>
  <c r="I106" i="14"/>
  <c r="G106" i="14"/>
  <c r="I105" i="14"/>
  <c r="I103" i="14"/>
  <c r="G103" i="14"/>
  <c r="I102" i="14"/>
  <c r="G102" i="14"/>
  <c r="I101" i="14"/>
  <c r="G101" i="14"/>
  <c r="I100" i="14"/>
  <c r="I98" i="14"/>
  <c r="G98" i="14" s="1"/>
  <c r="I97" i="14"/>
  <c r="G97" i="14" s="1"/>
  <c r="I96" i="14"/>
  <c r="G96" i="14" s="1"/>
  <c r="I95" i="14"/>
  <c r="G95" i="14" s="1"/>
  <c r="I94" i="14"/>
  <c r="G94" i="14" s="1"/>
  <c r="I93" i="14"/>
  <c r="I92" i="14"/>
  <c r="G92" i="14"/>
  <c r="I91" i="14"/>
  <c r="G91" i="14"/>
  <c r="I90" i="14"/>
  <c r="G90" i="14" s="1"/>
  <c r="I89" i="14"/>
  <c r="G89" i="14" s="1"/>
  <c r="I88" i="14"/>
  <c r="G88" i="14" s="1"/>
  <c r="I87" i="14"/>
  <c r="G87" i="14" s="1"/>
  <c r="I86" i="14"/>
  <c r="G86" i="14" s="1"/>
  <c r="I83" i="14"/>
  <c r="H83" i="14"/>
  <c r="I82" i="14"/>
  <c r="G82" i="14" s="1"/>
  <c r="H82" i="14"/>
  <c r="I81" i="14"/>
  <c r="H81" i="14"/>
  <c r="I79" i="14"/>
  <c r="I77" i="14"/>
  <c r="H77" i="14"/>
  <c r="I76" i="14"/>
  <c r="G76" i="14" s="1"/>
  <c r="H76" i="14"/>
  <c r="H75" i="14"/>
  <c r="I75" i="14"/>
  <c r="I74" i="14" s="1"/>
  <c r="I73" i="14"/>
  <c r="H73" i="14"/>
  <c r="G73" i="14"/>
  <c r="I72" i="14"/>
  <c r="H72" i="14"/>
  <c r="I71" i="14"/>
  <c r="H71" i="14"/>
  <c r="G71" i="14" s="1"/>
  <c r="I70" i="14"/>
  <c r="H70" i="14"/>
  <c r="G70" i="14"/>
  <c r="I69" i="14"/>
  <c r="H69" i="14"/>
  <c r="I68" i="14"/>
  <c r="H68" i="14"/>
  <c r="H67" i="14"/>
  <c r="I67" i="14"/>
  <c r="G67" i="14" s="1"/>
  <c r="I57" i="14"/>
  <c r="G57" i="14"/>
  <c r="G56" i="14" s="1"/>
  <c r="I55" i="14"/>
  <c r="I54" i="14"/>
  <c r="G54" i="14"/>
  <c r="I48" i="14"/>
  <c r="G48" i="14"/>
  <c r="I47" i="14"/>
  <c r="G47" i="14"/>
  <c r="I41" i="14"/>
  <c r="G41" i="14"/>
  <c r="I40" i="14"/>
  <c r="G40" i="14"/>
  <c r="I39" i="14"/>
  <c r="G39" i="14"/>
  <c r="I38" i="14"/>
  <c r="G38" i="14"/>
  <c r="I37" i="14"/>
  <c r="G37" i="14"/>
  <c r="I36" i="14"/>
  <c r="G36" i="14"/>
  <c r="I35" i="14"/>
  <c r="G35" i="14"/>
  <c r="I34" i="14"/>
  <c r="G34" i="14"/>
  <c r="I33" i="14"/>
  <c r="G33" i="14"/>
  <c r="I32" i="14"/>
  <c r="I31" i="14"/>
  <c r="G31" i="14" s="1"/>
  <c r="I28" i="14"/>
  <c r="H28" i="14"/>
  <c r="I27" i="14"/>
  <c r="I26" i="14"/>
  <c r="I25" i="14"/>
  <c r="I24" i="14"/>
  <c r="I23" i="14"/>
  <c r="H23" i="14"/>
  <c r="G23" i="14" s="1"/>
  <c r="I22" i="14"/>
  <c r="I21" i="14"/>
  <c r="I20" i="14" s="1"/>
  <c r="I19" i="14"/>
  <c r="G19" i="14" s="1"/>
  <c r="H19" i="14"/>
  <c r="I18" i="14"/>
  <c r="G60" i="14"/>
  <c r="G59" i="14"/>
  <c r="G58" i="14"/>
  <c r="I16" i="14"/>
  <c r="H16" i="14"/>
  <c r="H15" i="14" s="1"/>
  <c r="D37" i="14"/>
  <c r="D36" i="14"/>
  <c r="N36" i="14" s="1"/>
  <c r="W94" i="3"/>
  <c r="W93" i="3"/>
  <c r="W92" i="3"/>
  <c r="W91" i="3"/>
  <c r="W90" i="3"/>
  <c r="W89" i="3"/>
  <c r="W88" i="3"/>
  <c r="W87" i="3"/>
  <c r="W86" i="3"/>
  <c r="W85" i="3"/>
  <c r="W84" i="3"/>
  <c r="W83" i="3"/>
  <c r="W82" i="3"/>
  <c r="L8" i="13"/>
  <c r="H4" i="13"/>
  <c r="P17" i="13"/>
  <c r="K17" i="13"/>
  <c r="D17" i="13"/>
  <c r="P14" i="13"/>
  <c r="K14" i="13"/>
  <c r="D14" i="13"/>
  <c r="P11" i="13"/>
  <c r="K11" i="13"/>
  <c r="D11" i="13"/>
  <c r="Q30" i="13"/>
  <c r="P30" i="13"/>
  <c r="Q29" i="13"/>
  <c r="P29" i="13"/>
  <c r="Q28" i="13"/>
  <c r="P28" i="13"/>
  <c r="Q27" i="13"/>
  <c r="P27" i="13"/>
  <c r="Q26" i="13"/>
  <c r="P26" i="13"/>
  <c r="Q25" i="13"/>
  <c r="P25" i="13"/>
  <c r="C30" i="13"/>
  <c r="C29" i="13"/>
  <c r="C28" i="13"/>
  <c r="C27" i="13"/>
  <c r="C26" i="13"/>
  <c r="C25" i="13"/>
  <c r="P24" i="13"/>
  <c r="C24" i="13"/>
  <c r="Q31" i="12"/>
  <c r="P31" i="12"/>
  <c r="C31" i="12"/>
  <c r="Q16" i="12"/>
  <c r="Q15" i="12"/>
  <c r="P16" i="12"/>
  <c r="P15" i="12"/>
  <c r="C16" i="12"/>
  <c r="C15" i="12"/>
  <c r="Q23" i="13"/>
  <c r="P23" i="13"/>
  <c r="Q22" i="13"/>
  <c r="P22" i="13"/>
  <c r="C23" i="13"/>
  <c r="C22" i="13"/>
  <c r="Q21" i="13"/>
  <c r="P21" i="13"/>
  <c r="C21" i="13"/>
  <c r="P23" i="12"/>
  <c r="K23" i="12"/>
  <c r="D23" i="12"/>
  <c r="Q44" i="12"/>
  <c r="Q43" i="12"/>
  <c r="Q42" i="12"/>
  <c r="Q41" i="12"/>
  <c r="P44" i="12"/>
  <c r="P43" i="12"/>
  <c r="P42" i="12"/>
  <c r="P41" i="12"/>
  <c r="C44" i="12"/>
  <c r="C43" i="12"/>
  <c r="C42" i="12"/>
  <c r="C41" i="12"/>
  <c r="Q40" i="12"/>
  <c r="Q39" i="12"/>
  <c r="Q38" i="12"/>
  <c r="Q37" i="12"/>
  <c r="Q36" i="12"/>
  <c r="Q33" i="12"/>
  <c r="Q32" i="12"/>
  <c r="P40" i="12"/>
  <c r="P39" i="12"/>
  <c r="P38" i="12"/>
  <c r="P37" i="12"/>
  <c r="P36" i="12"/>
  <c r="P35" i="12"/>
  <c r="P34" i="12"/>
  <c r="P33" i="12"/>
  <c r="P32" i="12"/>
  <c r="C40" i="12"/>
  <c r="C39" i="12"/>
  <c r="C38" i="12"/>
  <c r="C37" i="12"/>
  <c r="C36" i="12"/>
  <c r="C35" i="12"/>
  <c r="C34" i="12"/>
  <c r="C33" i="12"/>
  <c r="C32" i="12"/>
  <c r="Q22" i="12"/>
  <c r="Q21" i="12"/>
  <c r="Q20" i="12"/>
  <c r="Q19" i="12"/>
  <c r="Q18" i="12"/>
  <c r="Q17" i="12"/>
  <c r="P22" i="12"/>
  <c r="P21" i="12"/>
  <c r="P20" i="12"/>
  <c r="P19" i="12"/>
  <c r="P18" i="12"/>
  <c r="P17" i="12"/>
  <c r="C22" i="12"/>
  <c r="C21" i="12"/>
  <c r="C20" i="12"/>
  <c r="C19" i="12"/>
  <c r="C18" i="12"/>
  <c r="C17" i="12"/>
  <c r="Q30" i="12"/>
  <c r="Q29" i="12"/>
  <c r="Q28" i="12"/>
  <c r="Q27" i="12"/>
  <c r="P30" i="12"/>
  <c r="P29" i="12"/>
  <c r="P28" i="12"/>
  <c r="P27" i="12"/>
  <c r="C30" i="12"/>
  <c r="C29" i="12"/>
  <c r="C28" i="12"/>
  <c r="C27" i="12"/>
  <c r="P14" i="12"/>
  <c r="P13" i="12"/>
  <c r="P12" i="12"/>
  <c r="Q14" i="12"/>
  <c r="C14" i="12"/>
  <c r="Q13" i="12"/>
  <c r="C13" i="12"/>
  <c r="Q12" i="12"/>
  <c r="C12" i="12"/>
  <c r="W71" i="3"/>
  <c r="W70" i="3"/>
  <c r="W73" i="3"/>
  <c r="W72" i="3"/>
  <c r="W98" i="3"/>
  <c r="W97" i="3"/>
  <c r="W95" i="3" s="1"/>
  <c r="W96" i="3"/>
  <c r="W106" i="3"/>
  <c r="W105" i="3"/>
  <c r="W104" i="3"/>
  <c r="W103" i="3"/>
  <c r="W102" i="3"/>
  <c r="W101" i="3"/>
  <c r="G96" i="3"/>
  <c r="E96" i="3" s="1"/>
  <c r="O96" i="3" s="1"/>
  <c r="G48" i="3"/>
  <c r="G46" i="3"/>
  <c r="E94" i="3"/>
  <c r="D98" i="14"/>
  <c r="N98" i="14" s="1"/>
  <c r="E91" i="3"/>
  <c r="O91" i="3" s="1"/>
  <c r="G92" i="3"/>
  <c r="E92" i="3" s="1"/>
  <c r="K135" i="3"/>
  <c r="K134" i="3"/>
  <c r="K133" i="3"/>
  <c r="K132" i="3"/>
  <c r="K131" i="3"/>
  <c r="K130" i="3"/>
  <c r="K129" i="3"/>
  <c r="K128" i="3" s="1"/>
  <c r="K127" i="3"/>
  <c r="K126" i="3"/>
  <c r="K125" i="3"/>
  <c r="K124" i="3"/>
  <c r="K122" i="3"/>
  <c r="K121" i="3"/>
  <c r="K120" i="3"/>
  <c r="K119" i="3"/>
  <c r="K118" i="3"/>
  <c r="K117" i="3"/>
  <c r="K116" i="3"/>
  <c r="K115" i="3"/>
  <c r="K114" i="3"/>
  <c r="K113" i="3"/>
  <c r="K112" i="3"/>
  <c r="K111" i="3"/>
  <c r="K110" i="3"/>
  <c r="K109" i="3"/>
  <c r="K108" i="3"/>
  <c r="K106" i="3"/>
  <c r="K105" i="3"/>
  <c r="L105" i="3" s="1"/>
  <c r="K104" i="3"/>
  <c r="K103" i="3"/>
  <c r="K102" i="3"/>
  <c r="K101" i="3"/>
  <c r="K100" i="3"/>
  <c r="K99" i="3"/>
  <c r="K98" i="3"/>
  <c r="L98" i="3" s="1"/>
  <c r="K97" i="3"/>
  <c r="K96" i="3"/>
  <c r="K94" i="3"/>
  <c r="K93" i="3"/>
  <c r="K92" i="3"/>
  <c r="K91" i="3"/>
  <c r="K90" i="3"/>
  <c r="L90" i="3" s="1"/>
  <c r="K89" i="3"/>
  <c r="K88" i="3"/>
  <c r="K87" i="3"/>
  <c r="L87" i="3" s="1"/>
  <c r="K86" i="3"/>
  <c r="K85" i="3"/>
  <c r="K84" i="3"/>
  <c r="L84" i="3" s="1"/>
  <c r="K83" i="3"/>
  <c r="K82" i="3"/>
  <c r="O76" i="3"/>
  <c r="O75" i="3"/>
  <c r="O74" i="3"/>
  <c r="O63" i="3"/>
  <c r="O53" i="3"/>
  <c r="K73" i="3"/>
  <c r="K72" i="3" s="1"/>
  <c r="L74" i="3"/>
  <c r="L76" i="3"/>
  <c r="L75" i="3"/>
  <c r="G73" i="3"/>
  <c r="G72" i="3"/>
  <c r="U72" i="3"/>
  <c r="T72" i="3"/>
  <c r="S72" i="3"/>
  <c r="R72" i="3"/>
  <c r="J72" i="3"/>
  <c r="I72" i="3"/>
  <c r="H72" i="3"/>
  <c r="F72" i="3"/>
  <c r="Q73" i="3"/>
  <c r="Q72" i="3"/>
  <c r="V72" i="3" s="1"/>
  <c r="G106" i="3"/>
  <c r="E106" i="3" s="1"/>
  <c r="O106" i="3" s="1"/>
  <c r="G105" i="3"/>
  <c r="E105" i="3"/>
  <c r="G104" i="3"/>
  <c r="G103" i="3"/>
  <c r="G102" i="3"/>
  <c r="E102" i="3"/>
  <c r="O102" i="3" s="1"/>
  <c r="G101" i="3"/>
  <c r="E101" i="3" s="1"/>
  <c r="O101" i="3" s="1"/>
  <c r="G98" i="3"/>
  <c r="G97" i="3"/>
  <c r="G85" i="3"/>
  <c r="E85" i="3" s="1"/>
  <c r="D89" i="14" s="1"/>
  <c r="G83" i="3"/>
  <c r="E83" i="3" s="1"/>
  <c r="O83" i="3" s="1"/>
  <c r="G82" i="3"/>
  <c r="E82" i="3"/>
  <c r="G84" i="3"/>
  <c r="E84" i="3"/>
  <c r="O84" i="3" s="1"/>
  <c r="G90" i="3"/>
  <c r="E90" i="3" s="1"/>
  <c r="O90" i="3" s="1"/>
  <c r="G86" i="3"/>
  <c r="E86" i="3"/>
  <c r="D90" i="14" s="1"/>
  <c r="N90" i="14" s="1"/>
  <c r="G88" i="3"/>
  <c r="E88" i="3"/>
  <c r="G89" i="3"/>
  <c r="E89" i="3"/>
  <c r="G87" i="3"/>
  <c r="E87" i="3"/>
  <c r="D91" i="14" s="1"/>
  <c r="N91" i="14"/>
  <c r="S18" i="3"/>
  <c r="Q18" i="3"/>
  <c r="V18" i="3" s="1"/>
  <c r="E124" i="3"/>
  <c r="E126" i="3"/>
  <c r="E125" i="3"/>
  <c r="D129" i="14" s="1"/>
  <c r="N129" i="14" s="1"/>
  <c r="W123" i="3"/>
  <c r="U123" i="3"/>
  <c r="T123" i="3"/>
  <c r="S123" i="3"/>
  <c r="R123" i="3"/>
  <c r="P123" i="3"/>
  <c r="N123" i="3"/>
  <c r="M123" i="3"/>
  <c r="L123" i="3"/>
  <c r="J123" i="3"/>
  <c r="I123" i="3"/>
  <c r="H123" i="3"/>
  <c r="G123" i="3"/>
  <c r="F123" i="3"/>
  <c r="Q127" i="3"/>
  <c r="D44" i="12" s="1"/>
  <c r="Q126" i="3"/>
  <c r="D43" i="12" s="1"/>
  <c r="Q125" i="3"/>
  <c r="D42" i="12" s="1"/>
  <c r="Q124" i="3"/>
  <c r="D41" i="12" s="1"/>
  <c r="G70" i="3"/>
  <c r="E70" i="3" s="1"/>
  <c r="O70" i="3" s="1"/>
  <c r="G71" i="3"/>
  <c r="S23" i="3"/>
  <c r="Q23" i="3" s="1"/>
  <c r="V23" i="3" s="1"/>
  <c r="S22" i="3"/>
  <c r="H26" i="14"/>
  <c r="G26" i="14" s="1"/>
  <c r="S21" i="3"/>
  <c r="H25" i="14" s="1"/>
  <c r="G25" i="14"/>
  <c r="H24" i="14"/>
  <c r="G24" i="14" s="1"/>
  <c r="H21" i="14"/>
  <c r="S14" i="3"/>
  <c r="S13" i="3"/>
  <c r="W128" i="3"/>
  <c r="U128" i="3"/>
  <c r="L131" i="14" s="1"/>
  <c r="T128" i="3"/>
  <c r="S128" i="3"/>
  <c r="R128" i="3"/>
  <c r="R80" i="3" s="1"/>
  <c r="L128" i="3"/>
  <c r="J128" i="3"/>
  <c r="I128" i="3"/>
  <c r="H128" i="3"/>
  <c r="F128" i="3"/>
  <c r="U95" i="3"/>
  <c r="T95" i="3"/>
  <c r="S95" i="3"/>
  <c r="R95" i="3"/>
  <c r="J95" i="3"/>
  <c r="I95" i="3"/>
  <c r="H95" i="3"/>
  <c r="F95" i="3"/>
  <c r="Q106" i="3"/>
  <c r="V106" i="3" s="1"/>
  <c r="Q105" i="3"/>
  <c r="V105" i="3" s="1"/>
  <c r="Q104" i="3"/>
  <c r="V104" i="3" s="1"/>
  <c r="Q103" i="3"/>
  <c r="V103" i="3" s="1"/>
  <c r="Q102" i="3"/>
  <c r="V102" i="3" s="1"/>
  <c r="Q101" i="3"/>
  <c r="V101" i="3" s="1"/>
  <c r="W107" i="3"/>
  <c r="U107" i="3"/>
  <c r="T107" i="3"/>
  <c r="S107" i="3"/>
  <c r="R107" i="3"/>
  <c r="L107" i="3"/>
  <c r="J107" i="3"/>
  <c r="I107" i="3"/>
  <c r="H107" i="3"/>
  <c r="F107" i="3"/>
  <c r="T81" i="3"/>
  <c r="S81" i="3"/>
  <c r="R81" i="3"/>
  <c r="J81" i="3"/>
  <c r="J80" i="3" s="1"/>
  <c r="F81" i="3"/>
  <c r="F80" i="3" s="1"/>
  <c r="U100" i="3"/>
  <c r="T100" i="3"/>
  <c r="S100" i="3"/>
  <c r="R100" i="3"/>
  <c r="J100" i="3"/>
  <c r="I100" i="3"/>
  <c r="H100" i="3"/>
  <c r="F100" i="3"/>
  <c r="Q64" i="3"/>
  <c r="V64" i="3"/>
  <c r="Q63" i="3"/>
  <c r="V63" i="3"/>
  <c r="Q57" i="3"/>
  <c r="V57" i="3"/>
  <c r="Q56" i="3"/>
  <c r="V56" i="3"/>
  <c r="Q55" i="3"/>
  <c r="V55" i="3"/>
  <c r="Q54" i="3"/>
  <c r="V54" i="3"/>
  <c r="Q53" i="3"/>
  <c r="V53" i="3"/>
  <c r="Q52" i="3"/>
  <c r="V52" i="3"/>
  <c r="Q51" i="3"/>
  <c r="V51" i="3"/>
  <c r="Q50" i="3"/>
  <c r="V50" i="3"/>
  <c r="Q49" i="3"/>
  <c r="V49" i="3"/>
  <c r="Q48" i="3"/>
  <c r="Q47" i="3"/>
  <c r="Q71" i="3"/>
  <c r="V71" i="3"/>
  <c r="Q70" i="3"/>
  <c r="V70" i="3"/>
  <c r="U69" i="3"/>
  <c r="T69" i="3"/>
  <c r="T45" i="3" s="1"/>
  <c r="S69" i="3"/>
  <c r="S45" i="3" s="1"/>
  <c r="R69" i="3"/>
  <c r="L69" i="3"/>
  <c r="K69" i="3"/>
  <c r="J69" i="3"/>
  <c r="J45" i="3"/>
  <c r="I69" i="3"/>
  <c r="H69" i="3"/>
  <c r="F69" i="3"/>
  <c r="F45" i="3"/>
  <c r="F44" i="3" s="1"/>
  <c r="D69" i="3"/>
  <c r="U46" i="3"/>
  <c r="U45" i="3"/>
  <c r="U34" i="3"/>
  <c r="T34" i="3"/>
  <c r="S34" i="3"/>
  <c r="R34" i="3"/>
  <c r="L34" i="3"/>
  <c r="J34" i="3"/>
  <c r="I34" i="3"/>
  <c r="H34" i="3"/>
  <c r="F34" i="3"/>
  <c r="T26" i="3"/>
  <c r="S26" i="3"/>
  <c r="R26" i="3"/>
  <c r="J26" i="3"/>
  <c r="I26" i="3"/>
  <c r="H26" i="3"/>
  <c r="F26" i="3"/>
  <c r="R16" i="3"/>
  <c r="L16" i="3"/>
  <c r="J16" i="3"/>
  <c r="I16" i="3"/>
  <c r="I10" i="3"/>
  <c r="H16" i="3"/>
  <c r="U13" i="3"/>
  <c r="T13" i="3"/>
  <c r="R13" i="3"/>
  <c r="L13" i="3"/>
  <c r="K13" i="3"/>
  <c r="J13" i="3"/>
  <c r="I13" i="3"/>
  <c r="H13" i="3"/>
  <c r="F13" i="3"/>
  <c r="E135" i="3"/>
  <c r="E133" i="3"/>
  <c r="K28" i="13"/>
  <c r="E132" i="3"/>
  <c r="O132" i="3"/>
  <c r="E130" i="3"/>
  <c r="K25" i="13"/>
  <c r="E129" i="3"/>
  <c r="D133" i="14"/>
  <c r="E122" i="3"/>
  <c r="D126" i="14" s="1"/>
  <c r="E121" i="3"/>
  <c r="K39" i="12"/>
  <c r="E120" i="3"/>
  <c r="D124" i="14"/>
  <c r="N124" i="14" s="1"/>
  <c r="E118" i="3"/>
  <c r="E117" i="3"/>
  <c r="E116" i="3"/>
  <c r="E115" i="3"/>
  <c r="K33" i="12" s="1"/>
  <c r="E114" i="3"/>
  <c r="D118" i="14" s="1"/>
  <c r="N118" i="14" s="1"/>
  <c r="E111" i="3"/>
  <c r="O111" i="3"/>
  <c r="E110" i="3"/>
  <c r="O110" i="3"/>
  <c r="E109" i="3"/>
  <c r="E107" i="3"/>
  <c r="E108" i="3"/>
  <c r="D112" i="14"/>
  <c r="E99" i="3"/>
  <c r="D103" i="14"/>
  <c r="N103" i="14" s="1"/>
  <c r="Q135" i="3"/>
  <c r="Q134" i="3"/>
  <c r="V134" i="3" s="1"/>
  <c r="Q133" i="3"/>
  <c r="V133" i="3" s="1"/>
  <c r="Q132" i="3"/>
  <c r="D27" i="13" s="1"/>
  <c r="Q131" i="3"/>
  <c r="V131" i="3" s="1"/>
  <c r="Q130" i="3"/>
  <c r="D25" i="13" s="1"/>
  <c r="Q129" i="3"/>
  <c r="V129" i="3" s="1"/>
  <c r="Q122" i="3"/>
  <c r="D40" i="12" s="1"/>
  <c r="Q121" i="3"/>
  <c r="D39" i="12" s="1"/>
  <c r="Q120" i="3"/>
  <c r="V120" i="3"/>
  <c r="Q119" i="3"/>
  <c r="V119" i="3"/>
  <c r="Q118" i="3"/>
  <c r="Q117" i="3"/>
  <c r="V117" i="3" s="1"/>
  <c r="Q116" i="3"/>
  <c r="D34" i="12" s="1"/>
  <c r="Q115" i="3"/>
  <c r="Q114" i="3"/>
  <c r="D32" i="12"/>
  <c r="Q113" i="3"/>
  <c r="V113" i="3" s="1"/>
  <c r="Q112" i="3"/>
  <c r="D21" i="12"/>
  <c r="Q111" i="3"/>
  <c r="Q110" i="3"/>
  <c r="D19" i="12" s="1"/>
  <c r="Q109" i="3"/>
  <c r="V109" i="3" s="1"/>
  <c r="Q108" i="3"/>
  <c r="Q99" i="3"/>
  <c r="V99" i="3" s="1"/>
  <c r="Q98" i="3"/>
  <c r="Q97" i="3"/>
  <c r="Q95" i="3"/>
  <c r="V95" i="3" s="1"/>
  <c r="Q96" i="3"/>
  <c r="V96" i="3" s="1"/>
  <c r="Q94" i="3"/>
  <c r="V94" i="3" s="1"/>
  <c r="Q93" i="3"/>
  <c r="V93" i="3" s="1"/>
  <c r="Q92" i="3"/>
  <c r="V92" i="3" s="1"/>
  <c r="Q91" i="3"/>
  <c r="V91" i="3" s="1"/>
  <c r="Q90" i="3"/>
  <c r="Q89" i="3"/>
  <c r="V89" i="3" s="1"/>
  <c r="Q88" i="3"/>
  <c r="V88" i="3"/>
  <c r="Q87" i="3"/>
  <c r="Q86" i="3"/>
  <c r="V86" i="3" s="1"/>
  <c r="Q85" i="3"/>
  <c r="Q84" i="3"/>
  <c r="Q83" i="3"/>
  <c r="V83" i="3" s="1"/>
  <c r="Q82" i="3"/>
  <c r="V82" i="3" s="1"/>
  <c r="K23" i="3"/>
  <c r="G32" i="3"/>
  <c r="E32" i="3"/>
  <c r="O32" i="3" s="1"/>
  <c r="K33" i="3"/>
  <c r="L33" i="3" s="1"/>
  <c r="G33" i="3"/>
  <c r="E33" i="3" s="1"/>
  <c r="O33" i="3" s="1"/>
  <c r="K43" i="3"/>
  <c r="L43" i="3"/>
  <c r="G43" i="3"/>
  <c r="E43" i="3" s="1"/>
  <c r="O43" i="3" s="1"/>
  <c r="G31" i="3"/>
  <c r="E31" i="3" s="1"/>
  <c r="G30" i="3"/>
  <c r="E30" i="3"/>
  <c r="K32" i="3"/>
  <c r="L32" i="3" s="1"/>
  <c r="K31" i="3"/>
  <c r="L31" i="3"/>
  <c r="K30" i="3"/>
  <c r="G23" i="3"/>
  <c r="E23" i="3" s="1"/>
  <c r="O23" i="3" s="1"/>
  <c r="G37" i="3"/>
  <c r="E37" i="3" s="1"/>
  <c r="K37" i="3"/>
  <c r="K42" i="3"/>
  <c r="K41" i="3"/>
  <c r="L41" i="3" s="1"/>
  <c r="L40" i="3" s="1"/>
  <c r="G29" i="3"/>
  <c r="E29" i="3"/>
  <c r="K14" i="12"/>
  <c r="G24" i="3"/>
  <c r="E24" i="3" s="1"/>
  <c r="G41" i="3"/>
  <c r="G42" i="3"/>
  <c r="E42" i="3"/>
  <c r="Q24" i="3"/>
  <c r="V24" i="3" s="1"/>
  <c r="Q37" i="3"/>
  <c r="Q33" i="3"/>
  <c r="Q26" i="3"/>
  <c r="Q32" i="3"/>
  <c r="Q31" i="3"/>
  <c r="Q30" i="3"/>
  <c r="V30" i="3"/>
  <c r="Q43" i="3"/>
  <c r="V43" i="3" s="1"/>
  <c r="Q42" i="3"/>
  <c r="Q41" i="3"/>
  <c r="D15" i="12" s="1"/>
  <c r="W11" i="3"/>
  <c r="U11" i="3"/>
  <c r="T11" i="3"/>
  <c r="T10" i="3"/>
  <c r="S11" i="3"/>
  <c r="R11" i="3"/>
  <c r="O11" i="3"/>
  <c r="L11" i="3"/>
  <c r="L10" i="3" s="1"/>
  <c r="K11" i="3"/>
  <c r="Q12" i="3"/>
  <c r="Q11" i="3" s="1"/>
  <c r="V11" i="3" s="1"/>
  <c r="F11" i="3"/>
  <c r="H11" i="3"/>
  <c r="H10" i="3"/>
  <c r="I11" i="3"/>
  <c r="J11" i="3"/>
  <c r="J10" i="3" s="1"/>
  <c r="U38" i="3"/>
  <c r="T38" i="3"/>
  <c r="S38" i="3"/>
  <c r="S25" i="3" s="1"/>
  <c r="R38" i="3"/>
  <c r="L38" i="3"/>
  <c r="K38" i="3"/>
  <c r="J38" i="3"/>
  <c r="J25" i="3" s="1"/>
  <c r="I38" i="3"/>
  <c r="I25" i="3" s="1"/>
  <c r="H38" i="3"/>
  <c r="G38" i="3"/>
  <c r="F38" i="3"/>
  <c r="K21" i="3"/>
  <c r="K20" i="3"/>
  <c r="G20" i="3"/>
  <c r="K29" i="3"/>
  <c r="G28" i="3"/>
  <c r="G26" i="3"/>
  <c r="K28" i="3"/>
  <c r="K26" i="3" s="1"/>
  <c r="K36" i="3"/>
  <c r="K35" i="3"/>
  <c r="G35" i="3"/>
  <c r="G36" i="3"/>
  <c r="G22" i="3"/>
  <c r="F22" i="3"/>
  <c r="K22" i="3" s="1"/>
  <c r="G21" i="3"/>
  <c r="E21" i="3" s="1"/>
  <c r="O21" i="3" s="1"/>
  <c r="Q36" i="3"/>
  <c r="Q35" i="3"/>
  <c r="Q29" i="3"/>
  <c r="Q28" i="3"/>
  <c r="D34" i="3"/>
  <c r="G15" i="3"/>
  <c r="G14" i="3"/>
  <c r="E14" i="3" s="1"/>
  <c r="E17" i="3"/>
  <c r="E18" i="3"/>
  <c r="O18" i="3" s="1"/>
  <c r="F19" i="3"/>
  <c r="G19" i="3"/>
  <c r="G16" i="3" s="1"/>
  <c r="Q19" i="3"/>
  <c r="V19" i="3" s="1"/>
  <c r="E27" i="3"/>
  <c r="D67" i="14"/>
  <c r="N67" i="14" s="1"/>
  <c r="Q27" i="3"/>
  <c r="E39" i="3"/>
  <c r="D79" i="14" s="1"/>
  <c r="Q39" i="3"/>
  <c r="V39" i="3" s="1"/>
  <c r="Q15" i="3"/>
  <c r="V15" i="3" s="1"/>
  <c r="Q17" i="3"/>
  <c r="V17" i="3"/>
  <c r="U26" i="3"/>
  <c r="U25" i="3" s="1"/>
  <c r="T16" i="3"/>
  <c r="E97" i="3"/>
  <c r="I81" i="3"/>
  <c r="I80" i="3" s="1"/>
  <c r="H81" i="3"/>
  <c r="H80" i="3" s="1"/>
  <c r="K17" i="12"/>
  <c r="G72" i="14"/>
  <c r="D28" i="13"/>
  <c r="D121" i="14"/>
  <c r="D139" i="14"/>
  <c r="Q21" i="3"/>
  <c r="V84" i="3"/>
  <c r="J16" i="14"/>
  <c r="J15" i="14"/>
  <c r="L80" i="14"/>
  <c r="V138" i="3"/>
  <c r="O54" i="3"/>
  <c r="G107" i="3"/>
  <c r="E113" i="3"/>
  <c r="O113" i="3" s="1"/>
  <c r="J81" i="14"/>
  <c r="E12" i="3"/>
  <c r="G11" i="3"/>
  <c r="K44" i="12"/>
  <c r="J129" i="14"/>
  <c r="L66" i="14"/>
  <c r="G141" i="14"/>
  <c r="F29" i="14"/>
  <c r="G62" i="14"/>
  <c r="G61" i="14" s="1"/>
  <c r="I17" i="14"/>
  <c r="G137" i="14"/>
  <c r="H18" i="14"/>
  <c r="G18" i="14" s="1"/>
  <c r="G17" i="14" s="1"/>
  <c r="D33" i="12"/>
  <c r="V115" i="3"/>
  <c r="O134" i="3"/>
  <c r="D138" i="14"/>
  <c r="J75" i="14"/>
  <c r="J100" i="14"/>
  <c r="M37" i="16"/>
  <c r="P37" i="16"/>
  <c r="O37" i="16"/>
  <c r="D24" i="13"/>
  <c r="K29" i="13"/>
  <c r="O56" i="3"/>
  <c r="J141" i="14"/>
  <c r="J140" i="14" s="1"/>
  <c r="L140" i="14"/>
  <c r="J76" i="14"/>
  <c r="J74" i="14"/>
  <c r="W22" i="3"/>
  <c r="W16" i="3" s="1"/>
  <c r="L26" i="14"/>
  <c r="J26" i="14" s="1"/>
  <c r="M26" i="14" s="1"/>
  <c r="U16" i="3"/>
  <c r="M43" i="16"/>
  <c r="G83" i="14"/>
  <c r="J62" i="14"/>
  <c r="J61" i="14"/>
  <c r="K77" i="3"/>
  <c r="E15" i="16"/>
  <c r="E14" i="16" s="1"/>
  <c r="E13" i="16" s="1"/>
  <c r="N15" i="16"/>
  <c r="N14" i="16" s="1"/>
  <c r="N13" i="16" s="1"/>
  <c r="M30" i="16"/>
  <c r="P36" i="16"/>
  <c r="O36" i="16" s="1"/>
  <c r="M36" i="16"/>
  <c r="H16" i="16"/>
  <c r="K42" i="12"/>
  <c r="E71" i="3"/>
  <c r="O71" i="3" s="1"/>
  <c r="P24" i="16"/>
  <c r="O24" i="16" s="1"/>
  <c r="M24" i="16"/>
  <c r="M27" i="16"/>
  <c r="P27" i="16"/>
  <c r="O27" i="16" s="1"/>
  <c r="E48" i="3"/>
  <c r="D32" i="14" s="1"/>
  <c r="D27" i="12"/>
  <c r="V130" i="3"/>
  <c r="M35" i="16"/>
  <c r="D28" i="12"/>
  <c r="V31" i="3"/>
  <c r="V112" i="3"/>
  <c r="D37" i="12"/>
  <c r="P28" i="16"/>
  <c r="O28" i="16" s="1"/>
  <c r="D12" i="12"/>
  <c r="V27" i="3"/>
  <c r="V47" i="3"/>
  <c r="G100" i="14"/>
  <c r="G99" i="14" s="1"/>
  <c r="L103" i="3"/>
  <c r="L100" i="3" s="1"/>
  <c r="V137" i="3"/>
  <c r="W15" i="3"/>
  <c r="W13" i="3" s="1"/>
  <c r="L19" i="14"/>
  <c r="D116" i="14"/>
  <c r="N116" i="14" s="1"/>
  <c r="K21" i="12"/>
  <c r="I61" i="14"/>
  <c r="O132" i="14"/>
  <c r="E137" i="3"/>
  <c r="G136" i="3"/>
  <c r="M21" i="16"/>
  <c r="D95" i="14"/>
  <c r="N95" i="14" s="1"/>
  <c r="K12" i="12"/>
  <c r="D106" i="14"/>
  <c r="N106" i="14" s="1"/>
  <c r="V132" i="3"/>
  <c r="E14" i="14"/>
  <c r="E13" i="14" s="1"/>
  <c r="J128" i="14"/>
  <c r="D48" i="14"/>
  <c r="N48" i="14" s="1"/>
  <c r="O64" i="3"/>
  <c r="K20" i="12"/>
  <c r="J101" i="14"/>
  <c r="J113" i="14"/>
  <c r="P38" i="16"/>
  <c r="O38" i="16" s="1"/>
  <c r="L85" i="3"/>
  <c r="M41" i="16"/>
  <c r="P41" i="16"/>
  <c r="O41" i="16" s="1"/>
  <c r="K80" i="14"/>
  <c r="M33" i="16"/>
  <c r="P33" i="16"/>
  <c r="O33" i="16" s="1"/>
  <c r="G77" i="14"/>
  <c r="M77" i="14" s="1"/>
  <c r="M39" i="16"/>
  <c r="P39" i="16"/>
  <c r="O39" i="16"/>
  <c r="D42" i="14"/>
  <c r="N42" i="14" s="1"/>
  <c r="O80" i="14"/>
  <c r="V79" i="3"/>
  <c r="Q77" i="3"/>
  <c r="V77" i="3" s="1"/>
  <c r="O85" i="14"/>
  <c r="E5" i="18"/>
  <c r="E7" i="18"/>
  <c r="D4" i="18"/>
  <c r="E4" i="18" s="1"/>
  <c r="D5" i="19"/>
  <c r="E5" i="19" s="1"/>
  <c r="C15" i="19"/>
  <c r="J22" i="15"/>
  <c r="J17" i="15" s="1"/>
  <c r="I23" i="15"/>
  <c r="D125" i="14"/>
  <c r="N125" i="14" s="1"/>
  <c r="O48" i="3"/>
  <c r="V111" i="3"/>
  <c r="D20" i="12"/>
  <c r="D25" i="14"/>
  <c r="N25" i="14" s="1"/>
  <c r="E41" i="3"/>
  <c r="O41" i="3" s="1"/>
  <c r="G49" i="14"/>
  <c r="O86" i="3"/>
  <c r="E103" i="3"/>
  <c r="V48" i="3"/>
  <c r="D115" i="14"/>
  <c r="N115" i="14"/>
  <c r="H22" i="14"/>
  <c r="M98" i="14"/>
  <c r="J106" i="14"/>
  <c r="M106" i="14" s="1"/>
  <c r="M123" i="14"/>
  <c r="O108" i="3"/>
  <c r="M115" i="14"/>
  <c r="P40" i="16"/>
  <c r="O40" i="16" s="1"/>
  <c r="E79" i="3"/>
  <c r="M42" i="16"/>
  <c r="K15" i="12"/>
  <c r="H33" i="15"/>
  <c r="M17" i="16"/>
  <c r="E104" i="3"/>
  <c r="O104" i="3" s="1"/>
  <c r="O126" i="3"/>
  <c r="D130" i="14"/>
  <c r="N130" i="14" s="1"/>
  <c r="K43" i="12"/>
  <c r="G31" i="16"/>
  <c r="M31" i="16"/>
  <c r="D117" i="14"/>
  <c r="N117" i="14" s="1"/>
  <c r="D36" i="12"/>
  <c r="V118" i="3"/>
  <c r="D30" i="13"/>
  <c r="V135" i="3"/>
  <c r="D97" i="14"/>
  <c r="N97" i="14" s="1"/>
  <c r="D17" i="12"/>
  <c r="K30" i="13"/>
  <c r="O135" i="3"/>
  <c r="O55" i="3"/>
  <c r="I15" i="14"/>
  <c r="G16" i="14"/>
  <c r="G15" i="14" s="1"/>
  <c r="G28" i="14"/>
  <c r="M28" i="14" s="1"/>
  <c r="M44" i="14"/>
  <c r="O49" i="3"/>
  <c r="D33" i="14"/>
  <c r="N33" i="14" s="1"/>
  <c r="D14" i="18"/>
  <c r="E14" i="18"/>
  <c r="Q13" i="14"/>
  <c r="P11" i="12"/>
  <c r="J54" i="14"/>
  <c r="J53" i="14"/>
  <c r="L53" i="14"/>
  <c r="L89" i="14"/>
  <c r="U81" i="3"/>
  <c r="V85" i="3"/>
  <c r="L73" i="3"/>
  <c r="L72" i="3" s="1"/>
  <c r="L45" i="3" s="1"/>
  <c r="AV57" i="14"/>
  <c r="K66" i="14"/>
  <c r="P26" i="16"/>
  <c r="O26" i="16" s="1"/>
  <c r="E22" i="3"/>
  <c r="D26" i="14" s="1"/>
  <c r="N26" i="14" s="1"/>
  <c r="D136" i="14"/>
  <c r="N136" i="14" s="1"/>
  <c r="K27" i="13"/>
  <c r="N139" i="14"/>
  <c r="J80" i="14"/>
  <c r="K38" i="12"/>
  <c r="E65" i="14"/>
  <c r="O111" i="14"/>
  <c r="E38" i="3"/>
  <c r="O39" i="3"/>
  <c r="O38" i="3" s="1"/>
  <c r="O94" i="3"/>
  <c r="O61" i="14"/>
  <c r="D15" i="19"/>
  <c r="E15" i="19" s="1"/>
  <c r="O53" i="14"/>
  <c r="O29" i="14" s="1"/>
  <c r="O74" i="14"/>
  <c r="W34" i="3"/>
  <c r="O66" i="14"/>
  <c r="O65" i="14" s="1"/>
  <c r="W26" i="3"/>
  <c r="W25" i="3" s="1"/>
  <c r="O20" i="14"/>
  <c r="O14" i="14" s="1"/>
  <c r="O13" i="14" s="1"/>
  <c r="M16" i="14"/>
  <c r="J89" i="14"/>
  <c r="O22" i="3"/>
  <c r="D82" i="14"/>
  <c r="N82" i="14" s="1"/>
  <c r="K16" i="12"/>
  <c r="O42" i="3"/>
  <c r="D92" i="14"/>
  <c r="N92" i="14" s="1"/>
  <c r="O88" i="3"/>
  <c r="E69" i="3"/>
  <c r="D55" i="14"/>
  <c r="N55" i="14" s="1"/>
  <c r="D73" i="14"/>
  <c r="N73" i="14" s="1"/>
  <c r="D26" i="13"/>
  <c r="O114" i="3"/>
  <c r="K32" i="12"/>
  <c r="J36" i="14"/>
  <c r="M36" i="14" s="1"/>
  <c r="K24" i="13"/>
  <c r="E19" i="3"/>
  <c r="D23" i="14" s="1"/>
  <c r="N23" i="14" s="1"/>
  <c r="V28" i="3"/>
  <c r="D13" i="12"/>
  <c r="L96" i="3"/>
  <c r="L95" i="3" s="1"/>
  <c r="K95" i="3"/>
  <c r="P20" i="16"/>
  <c r="O20" i="16"/>
  <c r="M20" i="16"/>
  <c r="C14" i="18"/>
  <c r="E15" i="18"/>
  <c r="G40" i="3"/>
  <c r="L82" i="3"/>
  <c r="L81" i="3"/>
  <c r="L80" i="3" s="1"/>
  <c r="K81" i="3"/>
  <c r="J134" i="14"/>
  <c r="M134" i="14"/>
  <c r="O50" i="3"/>
  <c r="D34" i="14"/>
  <c r="N34" i="14" s="1"/>
  <c r="O118" i="3"/>
  <c r="K36" i="12"/>
  <c r="D122" i="14"/>
  <c r="N122" i="14" s="1"/>
  <c r="Q123" i="3"/>
  <c r="V123" i="3" s="1"/>
  <c r="J125" i="14"/>
  <c r="M125" i="14" s="1"/>
  <c r="M35" i="14"/>
  <c r="M107" i="14"/>
  <c r="N138" i="14"/>
  <c r="E40" i="18"/>
  <c r="K46" i="3"/>
  <c r="K45" i="3"/>
  <c r="J15" i="16"/>
  <c r="J14" i="16" s="1"/>
  <c r="J13" i="16" s="1"/>
  <c r="K23" i="13"/>
  <c r="M87" i="14"/>
  <c r="M117" i="14"/>
  <c r="V116" i="3"/>
  <c r="V110" i="3"/>
  <c r="K123" i="3"/>
  <c r="M39" i="14"/>
  <c r="D137" i="14"/>
  <c r="N137" i="14"/>
  <c r="Q22" i="3"/>
  <c r="V22" i="3" s="1"/>
  <c r="E98" i="3"/>
  <c r="G95" i="3"/>
  <c r="G55" i="14"/>
  <c r="I53" i="14"/>
  <c r="M139" i="14"/>
  <c r="Q84" i="14"/>
  <c r="C5" i="19"/>
  <c r="E95" i="3"/>
  <c r="H53" i="15"/>
  <c r="L22" i="15"/>
  <c r="E22" i="15"/>
  <c r="H40" i="15"/>
  <c r="H24" i="15"/>
  <c r="H52" i="15"/>
  <c r="H29" i="17"/>
  <c r="H28" i="17"/>
  <c r="H74" i="14"/>
  <c r="G75" i="14"/>
  <c r="M75" i="14" s="1"/>
  <c r="M89" i="14"/>
  <c r="V108" i="3"/>
  <c r="G32" i="14"/>
  <c r="M32" i="14" s="1"/>
  <c r="M25" i="16"/>
  <c r="P25" i="16"/>
  <c r="O25" i="16"/>
  <c r="E35" i="3"/>
  <c r="I127" i="14"/>
  <c r="G130" i="14"/>
  <c r="M130" i="14"/>
  <c r="U10" i="3"/>
  <c r="D88" i="14"/>
  <c r="N88" i="14" s="1"/>
  <c r="D105" i="14"/>
  <c r="N105" i="14"/>
  <c r="D110" i="14"/>
  <c r="N110" i="14" s="1"/>
  <c r="J57" i="14"/>
  <c r="M57" i="14"/>
  <c r="D100" i="14"/>
  <c r="M18" i="16"/>
  <c r="D27" i="14"/>
  <c r="N27" i="14" s="1"/>
  <c r="D86" i="14"/>
  <c r="N86" i="14" s="1"/>
  <c r="O82" i="3"/>
  <c r="G100" i="3"/>
  <c r="J33" i="14"/>
  <c r="J30" i="14" s="1"/>
  <c r="L30" i="14"/>
  <c r="J27" i="14"/>
  <c r="K20" i="14"/>
  <c r="K14" i="14" s="1"/>
  <c r="K13" i="14" s="1"/>
  <c r="M45" i="14"/>
  <c r="O18" i="16"/>
  <c r="P32" i="16"/>
  <c r="O32" i="16"/>
  <c r="M32" i="16"/>
  <c r="D134" i="14"/>
  <c r="O130" i="3"/>
  <c r="O105" i="3"/>
  <c r="D109" i="14"/>
  <c r="N109" i="14" s="1"/>
  <c r="D16" i="12"/>
  <c r="V42" i="3"/>
  <c r="L30" i="3"/>
  <c r="L26" i="3"/>
  <c r="G105" i="14"/>
  <c r="G104" i="14" s="1"/>
  <c r="G121" i="14"/>
  <c r="M121" i="14"/>
  <c r="I111" i="14"/>
  <c r="M94" i="14"/>
  <c r="I56" i="14"/>
  <c r="E20" i="3"/>
  <c r="R10" i="3"/>
  <c r="D31" i="12"/>
  <c r="S80" i="3"/>
  <c r="H80" i="14"/>
  <c r="G81" i="14"/>
  <c r="G80" i="14"/>
  <c r="M80" i="14" s="1"/>
  <c r="O116" i="3"/>
  <c r="D120" i="14"/>
  <c r="K34" i="12"/>
  <c r="M48" i="14"/>
  <c r="L111" i="14"/>
  <c r="O87" i="3"/>
  <c r="O85" i="3"/>
  <c r="G68" i="14"/>
  <c r="M68" i="14" s="1"/>
  <c r="I66" i="14"/>
  <c r="I99" i="14"/>
  <c r="M128" i="14"/>
  <c r="P84" i="14"/>
  <c r="G69" i="14"/>
  <c r="M69" i="14"/>
  <c r="H66" i="14"/>
  <c r="H65" i="14" s="1"/>
  <c r="H64" i="14" s="1"/>
  <c r="M126" i="14"/>
  <c r="N39" i="14"/>
  <c r="N112" i="14"/>
  <c r="N120" i="14"/>
  <c r="V12" i="3"/>
  <c r="L104" i="14"/>
  <c r="J136" i="14"/>
  <c r="M136" i="14" s="1"/>
  <c r="D31" i="14"/>
  <c r="Q38" i="3"/>
  <c r="V38" i="3" s="1"/>
  <c r="D30" i="12"/>
  <c r="V33" i="3"/>
  <c r="H45" i="3"/>
  <c r="H44" i="3" s="1"/>
  <c r="J78" i="14"/>
  <c r="M95" i="14"/>
  <c r="M102" i="14"/>
  <c r="L85" i="14"/>
  <c r="D14" i="12"/>
  <c r="V37" i="3"/>
  <c r="D23" i="13"/>
  <c r="M96" i="14"/>
  <c r="N40" i="14"/>
  <c r="F65" i="14"/>
  <c r="F64" i="14" s="1"/>
  <c r="V136" i="3"/>
  <c r="N134" i="14"/>
  <c r="D75" i="14"/>
  <c r="O35" i="3"/>
  <c r="K21" i="13"/>
  <c r="G66" i="14"/>
  <c r="N100" i="14"/>
  <c r="N75" i="14"/>
  <c r="V26" i="3"/>
  <c r="O98" i="3"/>
  <c r="D102" i="14"/>
  <c r="V21" i="3"/>
  <c r="I14" i="14"/>
  <c r="O79" i="3"/>
  <c r="D63" i="14"/>
  <c r="N63" i="14"/>
  <c r="G127" i="14"/>
  <c r="M81" i="14"/>
  <c r="V29" i="3"/>
  <c r="D22" i="14"/>
  <c r="N22" i="14"/>
  <c r="O69" i="3"/>
  <c r="V87" i="3"/>
  <c r="J19" i="14"/>
  <c r="M19" i="14" s="1"/>
  <c r="L17" i="14"/>
  <c r="V35" i="3"/>
  <c r="D21" i="13"/>
  <c r="O89" i="3"/>
  <c r="D93" i="14"/>
  <c r="N93" i="14" s="1"/>
  <c r="V32" i="3"/>
  <c r="D29" i="12"/>
  <c r="U9" i="3"/>
  <c r="K30" i="12"/>
  <c r="D70" i="14"/>
  <c r="N70" i="14"/>
  <c r="O30" i="3"/>
  <c r="K27" i="12"/>
  <c r="E128" i="3"/>
  <c r="P31" i="16"/>
  <c r="O31" i="16" s="1"/>
  <c r="O129" i="3"/>
  <c r="D81" i="14"/>
  <c r="N81" i="14"/>
  <c r="S16" i="3"/>
  <c r="S10" i="3" s="1"/>
  <c r="S9" i="3" s="1"/>
  <c r="S8" i="3" s="1"/>
  <c r="K142" i="3" s="1"/>
  <c r="O29" i="3"/>
  <c r="H17" i="14"/>
  <c r="O27" i="3"/>
  <c r="D29" i="13"/>
  <c r="Q14" i="3"/>
  <c r="V14" i="3" s="1"/>
  <c r="M129" i="14"/>
  <c r="O133" i="3"/>
  <c r="V114" i="3"/>
  <c r="D113" i="14"/>
  <c r="O115" i="3"/>
  <c r="O120" i="3"/>
  <c r="R25" i="3"/>
  <c r="R9" i="3"/>
  <c r="G21" i="14"/>
  <c r="O125" i="3"/>
  <c r="E73" i="3"/>
  <c r="O73" i="3" s="1"/>
  <c r="O72" i="3" s="1"/>
  <c r="D57" i="14"/>
  <c r="W81" i="3"/>
  <c r="M37" i="14"/>
  <c r="J44" i="3"/>
  <c r="M38" i="14"/>
  <c r="D69" i="14"/>
  <c r="O84" i="14"/>
  <c r="V98" i="3"/>
  <c r="K19" i="12"/>
  <c r="Q69" i="3"/>
  <c r="V69" i="3"/>
  <c r="Q128" i="3"/>
  <c r="V128" i="3" s="1"/>
  <c r="K41" i="12"/>
  <c r="D128" i="14"/>
  <c r="N128" i="14" s="1"/>
  <c r="E123" i="3"/>
  <c r="G81" i="3"/>
  <c r="G80" i="3" s="1"/>
  <c r="M82" i="14"/>
  <c r="P19" i="16"/>
  <c r="O19" i="16" s="1"/>
  <c r="M19" i="16"/>
  <c r="D54" i="14"/>
  <c r="D53" i="14" s="1"/>
  <c r="O99" i="3"/>
  <c r="D87" i="14"/>
  <c r="K40" i="12"/>
  <c r="O122" i="3"/>
  <c r="G69" i="3"/>
  <c r="P26" i="12"/>
  <c r="P10" i="12"/>
  <c r="M103" i="14"/>
  <c r="M70" i="14"/>
  <c r="D114" i="14"/>
  <c r="N114" i="14"/>
  <c r="K22" i="12"/>
  <c r="K18" i="12"/>
  <c r="K29" i="12"/>
  <c r="D22" i="12"/>
  <c r="H25" i="3"/>
  <c r="H9" i="3" s="1"/>
  <c r="H8" i="3" s="1"/>
  <c r="R45" i="3"/>
  <c r="R44" i="3" s="1"/>
  <c r="R8" i="3" s="1"/>
  <c r="K141" i="3" s="1"/>
  <c r="W69" i="3"/>
  <c r="M97" i="14"/>
  <c r="L132" i="14"/>
  <c r="N126" i="14"/>
  <c r="O109" i="3"/>
  <c r="F16" i="3"/>
  <c r="F10" i="3" s="1"/>
  <c r="V122" i="3"/>
  <c r="D94" i="14"/>
  <c r="N94" i="14"/>
  <c r="G79" i="14"/>
  <c r="I78" i="14"/>
  <c r="M92" i="14"/>
  <c r="O121" i="3"/>
  <c r="O124" i="3"/>
  <c r="N32" i="14"/>
  <c r="M24" i="14"/>
  <c r="I104" i="14"/>
  <c r="M34" i="14"/>
  <c r="M109" i="14"/>
  <c r="Q65" i="14"/>
  <c r="Q64" i="14"/>
  <c r="Q143" i="14" s="1"/>
  <c r="M83" i="14"/>
  <c r="Q46" i="3"/>
  <c r="V46" i="3" s="1"/>
  <c r="M88" i="14"/>
  <c r="M71" i="14"/>
  <c r="L99" i="14"/>
  <c r="M72" i="14"/>
  <c r="P65" i="14"/>
  <c r="P64" i="14" s="1"/>
  <c r="P143" i="14" s="1"/>
  <c r="M46" i="14"/>
  <c r="M73" i="14"/>
  <c r="N87" i="14"/>
  <c r="O123" i="3"/>
  <c r="N113" i="14"/>
  <c r="E72" i="3"/>
  <c r="N102" i="14"/>
  <c r="G78" i="14"/>
  <c r="M78" i="14" s="1"/>
  <c r="M79" i="14"/>
  <c r="N69" i="14"/>
  <c r="N54" i="14"/>
  <c r="N53" i="14" s="1"/>
  <c r="L18" i="17"/>
  <c r="L17" i="17" s="1"/>
  <c r="L16" i="17" s="1"/>
  <c r="L14" i="17" s="1"/>
  <c r="H51" i="15"/>
  <c r="H50" i="15" s="1"/>
  <c r="O26" i="15"/>
  <c r="H25" i="17"/>
  <c r="H26" i="17"/>
  <c r="H27" i="17"/>
  <c r="H19" i="17"/>
  <c r="L24" i="17"/>
  <c r="M29" i="15"/>
  <c r="H44" i="15"/>
  <c r="H34" i="15"/>
  <c r="I50" i="15"/>
  <c r="Q60" i="15"/>
  <c r="E77" i="15"/>
  <c r="E31" i="15"/>
  <c r="O63" i="15"/>
  <c r="L55" i="15"/>
  <c r="L50" i="15"/>
  <c r="O50" i="15"/>
  <c r="E50" i="15"/>
  <c r="E26" i="15"/>
  <c r="V17" i="15"/>
  <c r="V15" i="15" s="1"/>
  <c r="T17" i="15"/>
  <c r="R17" i="15"/>
  <c r="P17" i="15"/>
  <c r="P15" i="15" s="1"/>
  <c r="M17" i="15"/>
  <c r="G17" i="15"/>
  <c r="U17" i="15"/>
  <c r="S17" i="15"/>
  <c r="K17" i="15"/>
  <c r="F17" i="15"/>
  <c r="L19" i="15"/>
  <c r="H19" i="15" s="1"/>
  <c r="H32" i="15"/>
  <c r="O22" i="15"/>
  <c r="Q19" i="15"/>
  <c r="O19" i="15" s="1"/>
  <c r="W16" i="15"/>
  <c r="H34" i="17"/>
  <c r="H33" i="17" s="1"/>
  <c r="L33" i="17"/>
  <c r="E18" i="17"/>
  <c r="E32" i="17"/>
  <c r="E31" i="17" s="1"/>
  <c r="I18" i="17"/>
  <c r="I17" i="17" s="1"/>
  <c r="I16" i="17" s="1"/>
  <c r="I14" i="17" s="1"/>
  <c r="E24" i="17"/>
  <c r="Q31" i="17"/>
  <c r="Q17" i="17" s="1"/>
  <c r="Q16" i="17" s="1"/>
  <c r="Q14" i="17" s="1"/>
  <c r="H20" i="17"/>
  <c r="H18" i="17" s="1"/>
  <c r="H17" i="17" s="1"/>
  <c r="H16" i="17" s="1"/>
  <c r="H14" i="17" s="1"/>
  <c r="H23" i="17"/>
  <c r="I24" i="17"/>
  <c r="H24" i="17" s="1"/>
  <c r="H21" i="17"/>
  <c r="H22" i="17"/>
  <c r="D56" i="14"/>
  <c r="N57" i="14"/>
  <c r="N56" i="14"/>
  <c r="L25" i="3"/>
  <c r="M61" i="14"/>
  <c r="V41" i="3"/>
  <c r="Q40" i="3"/>
  <c r="V40" i="3" s="1"/>
  <c r="D83" i="14"/>
  <c r="K31" i="12"/>
  <c r="E40" i="3"/>
  <c r="L127" i="14"/>
  <c r="L84" i="14" s="1"/>
  <c r="J131" i="14"/>
  <c r="Q17" i="15"/>
  <c r="M55" i="14"/>
  <c r="G53" i="14"/>
  <c r="M53" i="14"/>
  <c r="O19" i="3"/>
  <c r="J111" i="14"/>
  <c r="M111" i="14" s="1"/>
  <c r="M113" i="14"/>
  <c r="L9" i="3"/>
  <c r="V90" i="3"/>
  <c r="Q81" i="3"/>
  <c r="J9" i="3"/>
  <c r="J8" i="3" s="1"/>
  <c r="G42" i="14"/>
  <c r="M42" i="14" s="1"/>
  <c r="I30" i="14"/>
  <c r="I29" i="14" s="1"/>
  <c r="I13" i="14" s="1"/>
  <c r="P23" i="16"/>
  <c r="O23" i="16"/>
  <c r="M23" i="16"/>
  <c r="N31" i="14"/>
  <c r="G22" i="14"/>
  <c r="M101" i="14"/>
  <c r="J99" i="14"/>
  <c r="M99" i="14" s="1"/>
  <c r="D141" i="14"/>
  <c r="D140" i="14"/>
  <c r="E136" i="3"/>
  <c r="M119" i="14"/>
  <c r="M135" i="14"/>
  <c r="J132" i="14"/>
  <c r="M132" i="14" s="1"/>
  <c r="F13" i="14"/>
  <c r="F143" i="14" s="1"/>
  <c r="U80" i="3"/>
  <c r="M22" i="14"/>
  <c r="H23" i="15"/>
  <c r="H22" i="15" s="1"/>
  <c r="I22" i="15"/>
  <c r="I17" i="15"/>
  <c r="D96" i="14"/>
  <c r="N96" i="14" s="1"/>
  <c r="E81" i="3"/>
  <c r="E80" i="3" s="1"/>
  <c r="O92" i="3"/>
  <c r="O81" i="3" s="1"/>
  <c r="G93" i="14"/>
  <c r="M93" i="14" s="1"/>
  <c r="I85" i="14"/>
  <c r="M33" i="14"/>
  <c r="D24" i="14"/>
  <c r="O20" i="3"/>
  <c r="O64" i="14"/>
  <c r="O143" i="14" s="1"/>
  <c r="Q16" i="3"/>
  <c r="J56" i="14"/>
  <c r="M56" i="14" s="1"/>
  <c r="E15" i="3"/>
  <c r="G13" i="3"/>
  <c r="G10" i="3"/>
  <c r="O37" i="3"/>
  <c r="D77" i="14"/>
  <c r="N77" i="14" s="1"/>
  <c r="T80" i="3"/>
  <c r="T44" i="3"/>
  <c r="K107" i="3"/>
  <c r="K80" i="3"/>
  <c r="K44" i="3" s="1"/>
  <c r="M23" i="14"/>
  <c r="M41" i="14"/>
  <c r="M114" i="14"/>
  <c r="I140" i="14"/>
  <c r="G142" i="14"/>
  <c r="P34" i="16"/>
  <c r="O34" i="16"/>
  <c r="M34" i="16"/>
  <c r="O17" i="17"/>
  <c r="O16" i="17" s="1"/>
  <c r="O14" i="17" s="1"/>
  <c r="E46" i="3"/>
  <c r="M54" i="14"/>
  <c r="S44" i="3"/>
  <c r="I80" i="14"/>
  <c r="I65" i="14"/>
  <c r="K26" i="13"/>
  <c r="D135" i="14"/>
  <c r="D132" i="14" s="1"/>
  <c r="O131" i="3"/>
  <c r="O128" i="3"/>
  <c r="M29" i="16"/>
  <c r="P29" i="16"/>
  <c r="O29" i="16"/>
  <c r="O68" i="15"/>
  <c r="G74" i="14"/>
  <c r="M74" i="14" s="1"/>
  <c r="E100" i="3"/>
  <c r="D108" i="14"/>
  <c r="P20" i="13"/>
  <c r="P10" i="13" s="1"/>
  <c r="K84" i="14"/>
  <c r="O51" i="3"/>
  <c r="D35" i="14"/>
  <c r="N35" i="14"/>
  <c r="J85" i="14"/>
  <c r="I132" i="14"/>
  <c r="D38" i="12"/>
  <c r="V73" i="3"/>
  <c r="L61" i="14"/>
  <c r="L29" i="14" s="1"/>
  <c r="L13" i="14" s="1"/>
  <c r="M76" i="14"/>
  <c r="K40" i="3"/>
  <c r="W77" i="3"/>
  <c r="W45" i="3"/>
  <c r="D72" i="14"/>
  <c r="N72" i="14"/>
  <c r="J21" i="14"/>
  <c r="M21" i="14" s="1"/>
  <c r="L20" i="14"/>
  <c r="L14" i="14"/>
  <c r="M122" i="14"/>
  <c r="M22" i="16"/>
  <c r="P22" i="16"/>
  <c r="O22" i="16"/>
  <c r="M40" i="14"/>
  <c r="D123" i="14"/>
  <c r="N123" i="14" s="1"/>
  <c r="O119" i="3"/>
  <c r="E28" i="3"/>
  <c r="V97" i="3"/>
  <c r="K74" i="14"/>
  <c r="K65" i="14"/>
  <c r="K64" i="14"/>
  <c r="K143" i="14" s="1"/>
  <c r="K146" i="3" s="1"/>
  <c r="O146" i="3" s="1"/>
  <c r="J20" i="14"/>
  <c r="O15" i="3"/>
  <c r="D19" i="14"/>
  <c r="E13" i="3"/>
  <c r="G30" i="14"/>
  <c r="M30" i="14" s="1"/>
  <c r="D85" i="14"/>
  <c r="N135" i="14"/>
  <c r="N132" i="14"/>
  <c r="V16" i="3"/>
  <c r="N24" i="14"/>
  <c r="G65" i="14"/>
  <c r="J127" i="14"/>
  <c r="M127" i="14"/>
  <c r="M131" i="14"/>
  <c r="N83" i="14"/>
  <c r="N80" i="14" s="1"/>
  <c r="D80" i="14"/>
  <c r="N108" i="14"/>
  <c r="I84" i="14"/>
  <c r="I64" i="14" s="1"/>
  <c r="M142" i="14"/>
  <c r="G140" i="14"/>
  <c r="M140" i="14" s="1"/>
  <c r="G85" i="14"/>
  <c r="M85" i="14" s="1"/>
  <c r="N19" i="14"/>
  <c r="I79" i="15"/>
  <c r="I78" i="15"/>
  <c r="J77" i="15"/>
  <c r="I77" i="15" s="1"/>
  <c r="J75" i="15"/>
  <c r="I75" i="15" s="1"/>
  <c r="M75" i="15"/>
  <c r="M64" i="15" s="1"/>
  <c r="H28" i="15"/>
  <c r="L31" i="15"/>
  <c r="L29" i="15" s="1"/>
  <c r="M15" i="15"/>
  <c r="L17" i="15"/>
  <c r="M16" i="15"/>
  <c r="K13" i="12" l="1"/>
  <c r="K11" i="12" s="1"/>
  <c r="E26" i="3"/>
  <c r="O28" i="3"/>
  <c r="E17" i="17"/>
  <c r="E16" i="17" s="1"/>
  <c r="E14" i="17" s="1"/>
  <c r="I143" i="14"/>
  <c r="G84" i="14"/>
  <c r="G64" i="14" s="1"/>
  <c r="D68" i="14"/>
  <c r="G29" i="14"/>
  <c r="U44" i="3"/>
  <c r="O17" i="15"/>
  <c r="V16" i="15"/>
  <c r="Q13" i="3"/>
  <c r="M141" i="14"/>
  <c r="L44" i="3"/>
  <c r="L8" i="3" s="1"/>
  <c r="G16" i="16"/>
  <c r="H15" i="16"/>
  <c r="H14" i="16" s="1"/>
  <c r="H13" i="16" s="1"/>
  <c r="M15" i="14"/>
  <c r="M133" i="14"/>
  <c r="D101" i="14"/>
  <c r="O97" i="3"/>
  <c r="O95" i="3" s="1"/>
  <c r="O80" i="3" s="1"/>
  <c r="O14" i="3"/>
  <c r="O13" i="3" s="1"/>
  <c r="D18" i="14"/>
  <c r="K16" i="3"/>
  <c r="K10" i="3" s="1"/>
  <c r="J29" i="14"/>
  <c r="M29" i="14" s="1"/>
  <c r="V81" i="3"/>
  <c r="Q45" i="3"/>
  <c r="J17" i="14"/>
  <c r="D107" i="14"/>
  <c r="O103" i="3"/>
  <c r="O100" i="3" s="1"/>
  <c r="O40" i="3"/>
  <c r="W10" i="3"/>
  <c r="W9" i="3" s="1"/>
  <c r="M100" i="14"/>
  <c r="D16" i="14"/>
  <c r="E11" i="3"/>
  <c r="K34" i="3"/>
  <c r="K25" i="3" s="1"/>
  <c r="O31" i="3"/>
  <c r="K28" i="12"/>
  <c r="D71" i="14"/>
  <c r="N71" i="14" s="1"/>
  <c r="Q34" i="3"/>
  <c r="O24" i="3"/>
  <c r="D28" i="14"/>
  <c r="N28" i="14" s="1"/>
  <c r="D78" i="14"/>
  <c r="N79" i="14"/>
  <c r="N78" i="14" s="1"/>
  <c r="O17" i="3"/>
  <c r="O16" i="3" s="1"/>
  <c r="E16" i="3"/>
  <c r="D21" i="14"/>
  <c r="V36" i="3"/>
  <c r="D22" i="13"/>
  <c r="D20" i="13" s="1"/>
  <c r="D10" i="13" s="1"/>
  <c r="G34" i="3"/>
  <c r="G25" i="3" s="1"/>
  <c r="G9" i="3" s="1"/>
  <c r="G8" i="3" s="1"/>
  <c r="E36" i="3"/>
  <c r="L65" i="14"/>
  <c r="L64" i="14" s="1"/>
  <c r="L143" i="14" s="1"/>
  <c r="K145" i="3" s="1"/>
  <c r="O145" i="3" s="1"/>
  <c r="D18" i="12"/>
  <c r="D11" i="12" s="1"/>
  <c r="D10" i="12" s="1"/>
  <c r="M31" i="14"/>
  <c r="I45" i="3"/>
  <c r="I44" i="3" s="1"/>
  <c r="D41" i="14"/>
  <c r="D30" i="14" s="1"/>
  <c r="O57" i="3"/>
  <c r="O46" i="3" s="1"/>
  <c r="I9" i="3"/>
  <c r="I8" i="3" s="1"/>
  <c r="T25" i="3"/>
  <c r="T9" i="3" s="1"/>
  <c r="T8" i="3" s="1"/>
  <c r="K143" i="3" s="1"/>
  <c r="K140" i="3" s="1"/>
  <c r="M90" i="14"/>
  <c r="J104" i="14"/>
  <c r="M124" i="14"/>
  <c r="N41" i="14"/>
  <c r="N30" i="14" s="1"/>
  <c r="E84" i="14"/>
  <c r="E64" i="14" s="1"/>
  <c r="E143" i="14" s="1"/>
  <c r="J66" i="14"/>
  <c r="M67" i="14"/>
  <c r="D119" i="14"/>
  <c r="Q100" i="3"/>
  <c r="V100" i="3" s="1"/>
  <c r="D35" i="12"/>
  <c r="D26" i="12" s="1"/>
  <c r="F25" i="3"/>
  <c r="F9" i="3" s="1"/>
  <c r="F8" i="3" s="1"/>
  <c r="W100" i="3"/>
  <c r="W80" i="3" s="1"/>
  <c r="W44" i="3" s="1"/>
  <c r="M86" i="14"/>
  <c r="N89" i="14"/>
  <c r="N85" i="14" s="1"/>
  <c r="H29" i="14"/>
  <c r="M105" i="14"/>
  <c r="Q107" i="3"/>
  <c r="V107" i="3" s="1"/>
  <c r="H27" i="14"/>
  <c r="V121" i="3"/>
  <c r="O117" i="3"/>
  <c r="O107" i="3" s="1"/>
  <c r="K35" i="12"/>
  <c r="M18" i="14"/>
  <c r="M110" i="14"/>
  <c r="M138" i="14"/>
  <c r="N121" i="14"/>
  <c r="M25" i="14"/>
  <c r="O66" i="15"/>
  <c r="G77" i="3"/>
  <c r="G45" i="3" s="1"/>
  <c r="G44" i="3" s="1"/>
  <c r="E78" i="3"/>
  <c r="N131" i="14"/>
  <c r="N127" i="14" s="1"/>
  <c r="D131" i="14"/>
  <c r="D127" i="14" s="1"/>
  <c r="H43" i="15"/>
  <c r="E19" i="15"/>
  <c r="E17" i="15" s="1"/>
  <c r="Q31" i="15"/>
  <c r="Q29" i="15" s="1"/>
  <c r="Q15" i="15" s="1"/>
  <c r="R29" i="15"/>
  <c r="R16" i="15" s="1"/>
  <c r="G29" i="15"/>
  <c r="G15" i="15" s="1"/>
  <c r="O55" i="15"/>
  <c r="F29" i="15"/>
  <c r="F16" i="15" s="1"/>
  <c r="U29" i="15"/>
  <c r="U15" i="15" s="1"/>
  <c r="J29" i="15"/>
  <c r="J15" i="15" s="1"/>
  <c r="E71" i="15"/>
  <c r="E66" i="15" s="1"/>
  <c r="E64" i="15" s="1"/>
  <c r="V64" i="15"/>
  <c r="V12" i="15" s="1"/>
  <c r="V10" i="15" s="1"/>
  <c r="I71" i="15"/>
  <c r="L68" i="15"/>
  <c r="L66" i="15" s="1"/>
  <c r="N17" i="15"/>
  <c r="E29" i="15"/>
  <c r="P16" i="15"/>
  <c r="O60" i="15"/>
  <c r="T29" i="15"/>
  <c r="T15" i="15" s="1"/>
  <c r="N29" i="15"/>
  <c r="N16" i="15" s="1"/>
  <c r="R64" i="15"/>
  <c r="K64" i="15"/>
  <c r="H64" i="15"/>
  <c r="K29" i="15"/>
  <c r="K15" i="15" s="1"/>
  <c r="S29" i="15"/>
  <c r="S15" i="15" s="1"/>
  <c r="S12" i="15" s="1"/>
  <c r="S10" i="15" s="1"/>
  <c r="G66" i="15"/>
  <c r="G64" i="15" s="1"/>
  <c r="Q68" i="15"/>
  <c r="Q66" i="15" s="1"/>
  <c r="S75" i="15"/>
  <c r="N75" i="15"/>
  <c r="N64" i="15" s="1"/>
  <c r="H26" i="15"/>
  <c r="H17" i="15" s="1"/>
  <c r="I31" i="15"/>
  <c r="I29" i="15" s="1"/>
  <c r="I15" i="15" s="1"/>
  <c r="S64" i="15"/>
  <c r="P64" i="15"/>
  <c r="P12" i="15" s="1"/>
  <c r="P11" i="15" s="1"/>
  <c r="P10" i="15" s="1"/>
  <c r="J64" i="15"/>
  <c r="I66" i="15"/>
  <c r="I64" i="15" s="1"/>
  <c r="L80" i="15"/>
  <c r="L75" i="15" s="1"/>
  <c r="L64" i="15" s="1"/>
  <c r="L15" i="15"/>
  <c r="L16" i="15"/>
  <c r="M12" i="15"/>
  <c r="M11" i="15" s="1"/>
  <c r="M10" i="15" s="1"/>
  <c r="H31" i="15"/>
  <c r="H29" i="15" s="1"/>
  <c r="H15" i="15" s="1"/>
  <c r="H12" i="15" s="1"/>
  <c r="O29" i="15"/>
  <c r="F15" i="15"/>
  <c r="F12" i="15" s="1"/>
  <c r="F11" i="15" s="1"/>
  <c r="F10" i="15" s="1"/>
  <c r="U12" i="15"/>
  <c r="U10" i="15" s="1"/>
  <c r="J12" i="15"/>
  <c r="J11" i="15" s="1"/>
  <c r="J10" i="15" s="1"/>
  <c r="O77" i="15"/>
  <c r="O75" i="15" s="1"/>
  <c r="O64" i="15" s="1"/>
  <c r="O16" i="15"/>
  <c r="O15" i="15"/>
  <c r="K12" i="15"/>
  <c r="K11" i="15" s="1"/>
  <c r="K10" i="15" s="1"/>
  <c r="T64" i="15"/>
  <c r="T12" i="15" s="1"/>
  <c r="T10" i="15" s="1"/>
  <c r="H16" i="15"/>
  <c r="Q77" i="15"/>
  <c r="Q75" i="15" s="1"/>
  <c r="I12" i="15" l="1"/>
  <c r="I11" i="15" s="1"/>
  <c r="E15" i="15"/>
  <c r="E12" i="15" s="1"/>
  <c r="E11" i="15" s="1"/>
  <c r="E10" i="15" s="1"/>
  <c r="E16" i="15"/>
  <c r="Q64" i="15"/>
  <c r="Q12" i="15" s="1"/>
  <c r="Q11" i="15" s="1"/>
  <c r="Q10" i="15" s="1"/>
  <c r="N15" i="15"/>
  <c r="N12" i="15" s="1"/>
  <c r="N11" i="15" s="1"/>
  <c r="N10" i="15" s="1"/>
  <c r="O78" i="3"/>
  <c r="O77" i="3" s="1"/>
  <c r="E77" i="3"/>
  <c r="E45" i="3" s="1"/>
  <c r="E44" i="3" s="1"/>
  <c r="D62" i="14"/>
  <c r="S16" i="15"/>
  <c r="Q25" i="3"/>
  <c r="V25" i="3" s="1"/>
  <c r="V34" i="3"/>
  <c r="E10" i="3"/>
  <c r="J14" i="14"/>
  <c r="M17" i="14"/>
  <c r="N101" i="14"/>
  <c r="N99" i="14" s="1"/>
  <c r="N84" i="14" s="1"/>
  <c r="D99" i="14"/>
  <c r="M16" i="16"/>
  <c r="P16" i="16"/>
  <c r="G15" i="16"/>
  <c r="G12" i="15"/>
  <c r="G11" i="15" s="1"/>
  <c r="G10" i="15" s="1"/>
  <c r="N119" i="14"/>
  <c r="N111" i="14" s="1"/>
  <c r="D111" i="14"/>
  <c r="E34" i="3"/>
  <c r="D76" i="14"/>
  <c r="K22" i="13"/>
  <c r="K20" i="13" s="1"/>
  <c r="K10" i="13" s="1"/>
  <c r="O36" i="3"/>
  <c r="O34" i="3" s="1"/>
  <c r="N21" i="14"/>
  <c r="N20" i="14" s="1"/>
  <c r="D20" i="14"/>
  <c r="I16" i="15"/>
  <c r="K26" i="12"/>
  <c r="D15" i="14"/>
  <c r="N16" i="14"/>
  <c r="N15" i="14" s="1"/>
  <c r="T16" i="15"/>
  <c r="N18" i="14"/>
  <c r="N17" i="14" s="1"/>
  <c r="D17" i="14"/>
  <c r="V13" i="3"/>
  <c r="Q10" i="3"/>
  <c r="Q80" i="3"/>
  <c r="V80" i="3" s="1"/>
  <c r="O26" i="3"/>
  <c r="O25" i="3" s="1"/>
  <c r="K16" i="15"/>
  <c r="N107" i="14"/>
  <c r="N104" i="14" s="1"/>
  <c r="D104" i="14"/>
  <c r="G16" i="15"/>
  <c r="O10" i="3"/>
  <c r="J16" i="15"/>
  <c r="R15" i="15"/>
  <c r="R12" i="15" s="1"/>
  <c r="R11" i="15" s="1"/>
  <c r="R10" i="15" s="1"/>
  <c r="U8" i="3"/>
  <c r="E25" i="3"/>
  <c r="G27" i="14"/>
  <c r="H20" i="14"/>
  <c r="H14" i="14" s="1"/>
  <c r="H13" i="14" s="1"/>
  <c r="H143" i="14" s="1"/>
  <c r="M66" i="14"/>
  <c r="J65" i="14"/>
  <c r="M104" i="14"/>
  <c r="J84" i="14"/>
  <c r="M84" i="14" s="1"/>
  <c r="O45" i="3"/>
  <c r="O44" i="3" s="1"/>
  <c r="Q16" i="15"/>
  <c r="W8" i="3"/>
  <c r="V45" i="3"/>
  <c r="Q44" i="3"/>
  <c r="V44" i="3" s="1"/>
  <c r="K9" i="3"/>
  <c r="K8" i="3" s="1"/>
  <c r="U16" i="15"/>
  <c r="N68" i="14"/>
  <c r="N66" i="14" s="1"/>
  <c r="D66" i="14"/>
  <c r="K10" i="12"/>
  <c r="L12" i="15"/>
  <c r="L11" i="15" s="1"/>
  <c r="L10" i="15" s="1"/>
  <c r="O12" i="15"/>
  <c r="O11" i="15" s="1"/>
  <c r="O10" i="15" s="1"/>
  <c r="I10" i="15"/>
  <c r="K144" i="3" l="1"/>
  <c r="O144" i="3" s="1"/>
  <c r="Y8" i="3"/>
  <c r="D14" i="14"/>
  <c r="G14" i="16"/>
  <c r="G13" i="16" s="1"/>
  <c r="M13" i="16" s="1"/>
  <c r="M15" i="16"/>
  <c r="M14" i="16" s="1"/>
  <c r="N62" i="14"/>
  <c r="N61" i="14" s="1"/>
  <c r="N29" i="14" s="1"/>
  <c r="D61" i="14"/>
  <c r="D29" i="14" s="1"/>
  <c r="J64" i="14"/>
  <c r="M64" i="14" s="1"/>
  <c r="M65" i="14"/>
  <c r="M27" i="14"/>
  <c r="G20" i="14"/>
  <c r="O16" i="16"/>
  <c r="O15" i="16" s="1"/>
  <c r="O14" i="16" s="1"/>
  <c r="O13" i="16" s="1"/>
  <c r="P15" i="16"/>
  <c r="P14" i="16" s="1"/>
  <c r="P13" i="16" s="1"/>
  <c r="V10" i="3"/>
  <c r="Q9" i="3"/>
  <c r="J13" i="14"/>
  <c r="N65" i="14"/>
  <c r="N64" i="14" s="1"/>
  <c r="O9" i="3"/>
  <c r="O8" i="3" s="1"/>
  <c r="K147" i="3" s="1"/>
  <c r="N14" i="14"/>
  <c r="N13" i="14" s="1"/>
  <c r="N143" i="14" s="1"/>
  <c r="N76" i="14"/>
  <c r="N74" i="14" s="1"/>
  <c r="D74" i="14"/>
  <c r="D65" i="14" s="1"/>
  <c r="D64" i="14" s="1"/>
  <c r="D84" i="14"/>
  <c r="E9" i="3"/>
  <c r="E8" i="3" s="1"/>
  <c r="H11" i="15"/>
  <c r="H10" i="15"/>
  <c r="G14" i="14" l="1"/>
  <c r="M20" i="14"/>
  <c r="D13" i="14"/>
  <c r="D143" i="14" s="1"/>
  <c r="J143" i="14"/>
  <c r="V9" i="3"/>
  <c r="Q8" i="3"/>
  <c r="V8" i="3" s="1"/>
  <c r="G13" i="14" l="1"/>
  <c r="M14" i="14"/>
  <c r="AB8" i="3"/>
  <c r="AB10" i="3" s="1"/>
  <c r="G143" i="14" l="1"/>
  <c r="M143" i="14" s="1"/>
  <c r="M13" i="14"/>
</calcChain>
</file>

<file path=xl/sharedStrings.xml><?xml version="1.0" encoding="utf-8"?>
<sst xmlns="http://schemas.openxmlformats.org/spreadsheetml/2006/main" count="1962" uniqueCount="914">
  <si>
    <t>UBND HUYỆN TÂN HỒNG</t>
  </si>
  <si>
    <t>BAN QUẢN LÝ DỰ ÁN</t>
  </si>
  <si>
    <t>Nguồn vốn</t>
  </si>
  <si>
    <t>STT</t>
  </si>
  <si>
    <t>Số, ngày, tháng, năm</t>
  </si>
  <si>
    <t>Tổng số</t>
  </si>
  <si>
    <t>KH vốn kéo dài năm trước chuyển sang</t>
  </si>
  <si>
    <t>Bổ sung trong năm</t>
  </si>
  <si>
    <t>Tình hình thi công công trình thực tế và tỷ lệ hoàn thành so với tổng dự án</t>
  </si>
  <si>
    <t>I</t>
  </si>
  <si>
    <t>II</t>
  </si>
  <si>
    <t>Nạo vét kết hợp đường nội đồng ngọn Sa Rài (từ cống bà Phỉnh đến Cống ông Chầu)</t>
  </si>
  <si>
    <t>Tổng mức đầu tư (hoặc dự toán được duyệt)</t>
  </si>
  <si>
    <t>Đơn vị thi công</t>
  </si>
  <si>
    <t>Tổng cộng</t>
  </si>
  <si>
    <t xml:space="preserve">Chi phí XD/ giá gói thầu </t>
  </si>
  <si>
    <t>Chi phí QLDA, TVXD và CP khác</t>
  </si>
  <si>
    <t>Chi phí thiết bị (Gtb)</t>
  </si>
  <si>
    <t>Chi phí dự phòng</t>
  </si>
  <si>
    <t>A</t>
  </si>
  <si>
    <t>Trụ sở UBND xã Tân Phước</t>
  </si>
  <si>
    <t>Trường Mẫu giáo Thông Bình</t>
  </si>
  <si>
    <t>Số 45/QĐ-UBND.XDCB ngày 30/01/2018 của UBND Huyện (ĐC)</t>
  </si>
  <si>
    <t>B</t>
  </si>
  <si>
    <t>TỔNG SỐ</t>
  </si>
  <si>
    <t>GIÁM ĐỐC</t>
  </si>
  <si>
    <t>Nơi nhận:</t>
  </si>
  <si>
    <t xml:space="preserve"> - UBND Huyện (b/c)</t>
  </si>
  <si>
    <t xml:space="preserve"> - Phòng TC-KH;</t>
  </si>
  <si>
    <t xml:space="preserve"> - Lưu VT/QLDA&amp;PTQĐ.</t>
  </si>
  <si>
    <t>Người lập</t>
  </si>
  <si>
    <t>DỰ ÁN CHUYỂN TIẾP</t>
  </si>
  <si>
    <t>Số 319/QĐ-UBND.XDCB ngày 23/10/2017</t>
  </si>
  <si>
    <t>Nguyễn Thanh Xuân</t>
  </si>
  <si>
    <t>CỘNG HÒA XÃ HỘI CHỦ NGHĨA VIỆT NAM</t>
  </si>
  <si>
    <t>Độc lập - Tự do - Hạnh phúc</t>
  </si>
  <si>
    <t>VÀ PHÁT TRIỂN QUỸ ĐẤT</t>
  </si>
  <si>
    <t>I.1</t>
  </si>
  <si>
    <t>I.2</t>
  </si>
  <si>
    <t>II.1</t>
  </si>
  <si>
    <t>II.2</t>
  </si>
  <si>
    <t>II.3</t>
  </si>
  <si>
    <t>VỐN TỈNH QUẢN LÝ VÀ PHÂN BỔ</t>
  </si>
  <si>
    <t>Ngày khởi công - Hoàn thành</t>
  </si>
  <si>
    <t>VỐN NGÂN SÁCH HUYỆN QUẢN LÝ</t>
  </si>
  <si>
    <t>II.4</t>
  </si>
  <si>
    <t>Địa điểm xây dựng</t>
  </si>
  <si>
    <t>Lũy kế giải ngân từ đầu năm đến kỳ báo cáo</t>
  </si>
  <si>
    <t>Lũy kế giải ngân từ khởi công</t>
  </si>
  <si>
    <t>Ghi chú</t>
  </si>
  <si>
    <t>xã THC</t>
  </si>
  <si>
    <t>xã TCC</t>
  </si>
  <si>
    <t>xã BP</t>
  </si>
  <si>
    <t>xã TP</t>
  </si>
  <si>
    <t>xã AP</t>
  </si>
  <si>
    <t>xã TTA</t>
  </si>
  <si>
    <t>xã TTB</t>
  </si>
  <si>
    <t>xã TB</t>
  </si>
  <si>
    <t>TTSR</t>
  </si>
  <si>
    <t>II.5</t>
  </si>
  <si>
    <r>
      <t>Đường Thống Nhất (Gò Cát - Quốc lộ 30) (NS Tỉnh hỗ trợ có mục tiêu cho huyện 30,66 tỷ đồng</t>
    </r>
    <r>
      <rPr>
        <sz val="10"/>
        <color indexed="10"/>
        <rFont val="Times New Roman"/>
        <family val="1"/>
      </rPr>
      <t>)</t>
    </r>
  </si>
  <si>
    <t>Công ty TNHH XDTM Việt Hưng Đồng Tháp</t>
  </si>
  <si>
    <t>30/07/2018-27/12/2018</t>
  </si>
  <si>
    <t>Trường mầm non Tân Hộ Cơ</t>
  </si>
  <si>
    <t>Tiến độ hoàn thành (%)</t>
  </si>
  <si>
    <t>Giá trị khối lượng thực hiện</t>
  </si>
  <si>
    <t>Tỷ lệ  giải ngân theo % KH đã giao</t>
  </si>
  <si>
    <t>Công ty TNHH Đầu tư Xây dựng Bảo Huy</t>
  </si>
  <si>
    <t>Công ty TNHH MTV XD Thắng Lợi</t>
  </si>
  <si>
    <t>Số 140/QĐ-SXD ngày 24/08/2018 của Sở Xây dựng tỉnh Đồng Tháp (ĐC)</t>
  </si>
  <si>
    <t xml:space="preserve">Chi phí đền bù GPMB, di dời trụ điện . . . </t>
  </si>
  <si>
    <t>x</t>
  </si>
  <si>
    <t>Số:          /BC-QLDA&amp;PTQĐ</t>
  </si>
  <si>
    <t xml:space="preserve">Số 261/QĐ-UBND.XDCB ngày 20/09/2018 của UBND Huyện </t>
  </si>
  <si>
    <t>Giá trị trúng thầu</t>
  </si>
  <si>
    <t xml:space="preserve">Số 380/QĐ-UBND.XDCB ngày 12/12/2018 của UBND Huyện (ĐC) </t>
  </si>
  <si>
    <t>Cứng hoá đê bao bờ Bắc kênh Lê Hùng (đoạn từ kênh Cô Đông đến kênh Tân Công Sính 2)</t>
  </si>
  <si>
    <t>Số 354/QĐ-UBND.XDCB ngày 27/11/2018</t>
  </si>
  <si>
    <t>Công ty TNHH Xây lắp Thương mại Minh Yến</t>
  </si>
  <si>
    <t>VỐN HUYỆN QUẢN LÝ VÀ PHÂN BỔ</t>
  </si>
  <si>
    <t>Giá trị gói thầu được duyệt</t>
  </si>
  <si>
    <t>15=16*5/100</t>
  </si>
  <si>
    <t>Công ty TNHH Đức Tâm</t>
  </si>
  <si>
    <t xml:space="preserve"> - Phòng NN&amp;PTNT;</t>
  </si>
  <si>
    <t>Công ty TNHH Anh Vũ Đồng Tháp</t>
  </si>
  <si>
    <t xml:space="preserve">        + Vốn bố trí đầu năm:</t>
  </si>
  <si>
    <t xml:space="preserve">        + Vốn chuyển tiếp:</t>
  </si>
  <si>
    <t xml:space="preserve">        + Vốn bổ sung trong năm:</t>
  </si>
  <si>
    <t xml:space="preserve">   - Giá trị giải ngân:</t>
  </si>
  <si>
    <t>%</t>
  </si>
  <si>
    <t>đồng</t>
  </si>
  <si>
    <t>đạt tỷ lệ:</t>
  </si>
  <si>
    <t>III</t>
  </si>
  <si>
    <t>IV</t>
  </si>
  <si>
    <t>ĐVT: 1.000 đồng</t>
  </si>
  <si>
    <t>Công ty TNHH Cao Cường Tân Hồng</t>
  </si>
  <si>
    <t>Liên danh Công ty TNHH MTV TM DV Hoàng Long – Công ty CP Đầu tư Xây dựng Đại Đông Hải</t>
  </si>
  <si>
    <t xml:space="preserve">   - Giá trị khối lượng thực hiện (theo tiến độ thực hiện DA):</t>
  </si>
  <si>
    <t>Công ty TNHH MTV Xây dựng Thắng Lợi</t>
  </si>
  <si>
    <t>Chi nhánh Công ty TNHH MTV Bạch Đằng - Xí nghiệp Xây lắp 19/4</t>
  </si>
  <si>
    <t>Trụ sở UBND xã Tân Thành A (hạng mục xây dựng trụ sở)</t>
  </si>
  <si>
    <t>Số 310/QĐ-UBND.XDCB, 04/09/2019 của UBND Huyện</t>
  </si>
  <si>
    <t>Trường TH Giồng Găng</t>
  </si>
  <si>
    <t xml:space="preserve">Nạo vét kênh Cả Trấp I </t>
  </si>
  <si>
    <t xml:space="preserve">Nạo vét kênh 4 Thước </t>
  </si>
  <si>
    <t>Đường vào cánh đồng ấp 2 (đoạn từ Chùa Tân Long đến Cầu Tứ Tân)</t>
  </si>
  <si>
    <t>Nâng cấp, cứng hóa đê bao bờ Tây kênh Ngọn Cũ (Từ cầu kênh Ngọn Cũ đến kênh Giồng Nhỏ)</t>
  </si>
  <si>
    <t>xã TTA-TP</t>
  </si>
  <si>
    <t>I.3</t>
  </si>
  <si>
    <t>Trường Mầm non Thông Bình</t>
  </si>
  <si>
    <t>Trường Tiểu học Thông Bình 3</t>
  </si>
  <si>
    <t>Trường Tiểu học - Trung học cơ sở Thống Nhất</t>
  </si>
  <si>
    <t>Số 68/QĐ-UBND.ĐTXD, ngày 31/03/2020 của UBND Huyện</t>
  </si>
  <si>
    <t>Số 67/QĐ-UBND.ĐTXD, ngày 27/03/2020 của UBND Huyện</t>
  </si>
  <si>
    <t>Số 84/QĐ-UBND.ĐTXD, ngày 08/04/2020 của UBND Huyện</t>
  </si>
  <si>
    <t>Công ty TNHH Quang Vinh Giồng Găng</t>
  </si>
  <si>
    <t>Trung tâm Văn hóa - Học tập cộng đồng xã Bình Phú</t>
  </si>
  <si>
    <t>Công ty TNHH Xây dựng và Thương mại Thúy Vân</t>
  </si>
  <si>
    <t>Công ty TNHH Mỹ Anh</t>
  </si>
  <si>
    <t>Bố trí ổn định dân cư Dinh Bà, xã Tân Hộ Cơ, huyện Tân Hồng</t>
  </si>
  <si>
    <t>xả THC</t>
  </si>
  <si>
    <t>Nạo vét mương cặp nhà Hai Thăng Bắc Trang</t>
  </si>
  <si>
    <t>Nạo vét mương ấp Bắc Trang 1</t>
  </si>
  <si>
    <t>Nâng cấp, sửa chữa cống Ông Dinh</t>
  </si>
  <si>
    <t>Nâng cấp, sửa chữa cống Ông Sang</t>
  </si>
  <si>
    <t>Nâng cấp, cứng hóa bờ Đông kênh Phú Đức</t>
  </si>
  <si>
    <t>Nâng cấp hệ thống giao thông thoát nước xử lý ngập úng thị trấn Sa Rài (Giai đoạn 2)</t>
  </si>
  <si>
    <t>Nâng cấp sửa chữa cống Năm Chầu</t>
  </si>
  <si>
    <t xml:space="preserve">Số 284/QĐ-UBND.ĐTXD ngày 27/08/2020 của UBND Huyện </t>
  </si>
  <si>
    <t>TT</t>
  </si>
  <si>
    <t>Nội dung</t>
  </si>
  <si>
    <t xml:space="preserve">Tổng mức đầu tư </t>
  </si>
  <si>
    <t>Tỷ lệ giải ngân so với kế hoạch (%)</t>
  </si>
  <si>
    <t>Đề xuất giải pháp (nếu có)</t>
  </si>
  <si>
    <t>Trong đó</t>
  </si>
  <si>
    <t>NSTT</t>
  </si>
  <si>
    <t>XSKT</t>
  </si>
  <si>
    <t>TỔNG CỘNG</t>
  </si>
  <si>
    <t>Ghi chú: (*) Tiến độ triển khai thực hiện cụ thể của dự án như: dự án đang tổ chức lựa chọn nhà thầu; đang thi công phần móng; thi công phần mái…</t>
  </si>
  <si>
    <t>Phan Ngọc Minh Trung</t>
  </si>
  <si>
    <t>Số 45/2019/HĐ-XD ngày 27/06/2019; KC-HT: 04/07/2019-28/06/2020</t>
  </si>
  <si>
    <t>Số 03/2020/HĐ-XD ngày 27/02/2020;  KC-HT: '06/03/2020-31/12/2020</t>
  </si>
  <si>
    <t>Số 41/2020/HĐ-XD ngày 30/06/2020;  KC-HT: '07/07/2020-02/07/2021</t>
  </si>
  <si>
    <t>Số 23/2020/HĐ-XD ngày 16/04/2020;  KC-HT: '23/04/2020-18/04/2021</t>
  </si>
  <si>
    <t>Số 31/2020/HĐ-XD ngày 07/05/2020;  KC-HT: '14/05/2020-09/05/2021</t>
  </si>
  <si>
    <t>Số 36/2020/HĐ-XD ngày 03/06/2020;  KC-HT: '10/06/2020-06/01/2021</t>
  </si>
  <si>
    <t>Số 37/2020/HĐ-XD ngày 05/06/2020;  KC-HT: '12/06/2020-07/06/2021</t>
  </si>
  <si>
    <t>Số 34/2020/HĐ-XD ngày 20/05/2020;  KC-HT: '27/05/2020-21/02/2021</t>
  </si>
  <si>
    <t>26/12/2018 - 26/08/2019; PKGH 29/05/2020</t>
  </si>
  <si>
    <t>Số 70/2018/HĐ-XD ngày 27/12/2018; KC-HT: 28/12/2018-23/12/2019; PKGH: 30/07/2020</t>
  </si>
  <si>
    <t>Công ty TNHH Dịch Vụ - Xây dựng Mỹ Lực</t>
  </si>
  <si>
    <t>Số 294/QĐ-UBND.ĐTXD, ngày 11/09/2020 của UBND Huyện</t>
  </si>
  <si>
    <t>Số 293/QĐ-UBND.ĐTXD, ngày 11/09/2020 của UBND Huyện</t>
  </si>
  <si>
    <t>Nâng cấp, sửa chữa cống tiêu ranh xã Tân Thành A - Tân Phước</t>
  </si>
  <si>
    <t>Nâng cấp, sửa chữa cống tiêu mương Bắc Viện</t>
  </si>
  <si>
    <t>Số: 125/QĐ-UBND.ĐTXD ngày 22/04/2020 của UBND Huyện (điều chỉnh)</t>
  </si>
  <si>
    <t>Số: 20/QĐ-UBND.ĐTXD ngày 11/02/2020 của UBND Huyện (điều chỉnh)</t>
  </si>
  <si>
    <t>Số: 32/QĐ-UBND.ĐTXD ngày 25/02/2020 của UBND Huyện (điều chỉnh)</t>
  </si>
  <si>
    <t>Số 331/QĐ-UBND.ĐTXD, ngày 02/10/2020 của UBND Huyện</t>
  </si>
  <si>
    <t>Công ty TNHH Trung Nam</t>
  </si>
  <si>
    <t>Số 56/2020/HĐ-XD ngày 30/09/2020;  KC-HT: '02/10/2020-31/12/2020</t>
  </si>
  <si>
    <t>Số 58/2020/HĐ-XD ngày 05/10/2020;  KC-HT: '12/10/2020-10/01/2021</t>
  </si>
  <si>
    <t>Số 351/QĐ-UBND.ĐTXD, ngày 31/10/2020 của UBND Huyện</t>
  </si>
  <si>
    <t>Số: 354/QĐ-UBND.ĐTXD ngày 31/10/2020 của UBND Huyện (ĐC)</t>
  </si>
  <si>
    <t>Số 62/2020/HĐ-XD ngày 07/12/2020;  KC-HT: '14/12/2020-10/10/2021</t>
  </si>
  <si>
    <t>Số 63/2020/HĐ-XD ngày 17/12/2020;  KC-HT: '24/12/2020-22/06/2021</t>
  </si>
  <si>
    <t>Số 423/QĐ-UBND.ĐTXD, ngày 23/12/2020 của UBND Huyện</t>
  </si>
  <si>
    <t>Số 425/QĐ-UBND.ĐTXD, ngày 23/12/2020 của UBND Huyện</t>
  </si>
  <si>
    <t>Số 422/QĐ-UBND.ĐTXD, ngày 23/12/2020 của UBND Huyện</t>
  </si>
  <si>
    <t>Số 424/QĐ-UBND.ĐTXD, ngày 23/12/2020 của UBND Huyện</t>
  </si>
  <si>
    <t>Số 428/QĐ-UBND.ĐTXD, ngày 24/12/2020 của UBND Huyện</t>
  </si>
  <si>
    <t>Số 65/2020/HĐ-XD ngày 29/12/2020;  KC-HT: '29/12/2020-27/06/2021</t>
  </si>
  <si>
    <t>Số 66/2020/HĐ-XD ngày 31/12/2020;  KC-HT: '31/12/2020-30/04/2021</t>
  </si>
  <si>
    <t xml:space="preserve">VỐN XDCB TẬP TRUNG </t>
  </si>
  <si>
    <t>Trường TH Nguyễn Huệ; HM: Cải tạo khối phòng học, khu hiệu bộ, khu vệ sinh</t>
  </si>
  <si>
    <t>Trường TH Tân Phước; HM: Thảo dỡ dãy phòng học hiện trang, làm mới hàng rào lưới B40, sân đan, nhà xe (Điểm Ngã Tư); Cải tạo cổng chính, xây dựng mới hàng rào mặt chính (điểm Phước Xuyên)</t>
  </si>
  <si>
    <t>Trường TH Tân Thành A2; HM: San lắp mặt bằng, mở rộng sân đan, xây dựng mới cột cờ, nhà xe (điểm Thi Sơn)</t>
  </si>
  <si>
    <t>Trường MN Tân Công Chí; HM: Cải tạo dãy 06 phòng học và dãy hành chính quản trị (Điểm Chính)</t>
  </si>
  <si>
    <t>Trường TH Trần Phú; HM: Cải tạo nhà vệ sinh học sinh nam, nữ; cải tạo nhà vệ sinh giáo viên; làm mới sân đan từ phòng học giáp với căn tin đến khu vệ sinh; xây mới hệ thống rãnh thoát nước phía sau</t>
  </si>
  <si>
    <t>Trường Tiểu học Thông Bình 1; HM: Cải tạo sửa chữa</t>
  </si>
  <si>
    <t>Trường Tiểu học Tân Thành A 3; HM: Cải tạo sửa chữa</t>
  </si>
  <si>
    <t>Trường Tiểu học Bình Phú 2; HM: Cải tạo sửa chữa</t>
  </si>
  <si>
    <t>Trường THCS Tân Thành A; HM: Cải tạo sửa chữa</t>
  </si>
  <si>
    <t>Trụ sở UBND xã Tân Thành B</t>
  </si>
  <si>
    <t>Hội trường Khối vận</t>
  </si>
  <si>
    <t>Bờ kè phía Đông kênh Tân Hòa</t>
  </si>
  <si>
    <t>Chợ biên giới Thông Bình</t>
  </si>
  <si>
    <t xml:space="preserve">VỐN THU TIỀN SỬ DỤNG ĐẤT </t>
  </si>
  <si>
    <t>Rải đá cấp phối đường Tháp Mười đoạn từ Nguyễn Huệ- đê bao phía Tây</t>
  </si>
  <si>
    <t>Đường Lê Duẫn (đoạn từ Huỳnh Công Chí- Nguyễn Văn Cơ)</t>
  </si>
  <si>
    <t xml:space="preserve">Đường 1/5 (đoạn từ Thiên Hộ Dương- đê bao phía Tây) </t>
  </si>
  <si>
    <t>Nâng cấp láng nhựa đường nội bộ, hệ thống cống khu vực chợ Tân Phước</t>
  </si>
  <si>
    <t>VỐN BÙ MIỄN THU THỦY LỢI PHÍ</t>
  </si>
  <si>
    <t xml:space="preserve">Nạo vét kênh 70 cũ </t>
  </si>
  <si>
    <t xml:space="preserve">Nạo vét, kênh Cụt </t>
  </si>
  <si>
    <t>Nạo vét mương tiêu, kết hợp Đường nội đồng Chín Ngói ấp 1 (từ kênh Tứ Tân - đường nội đồng)</t>
  </si>
  <si>
    <t>Nạo vét mương thủy lợi, kết hợp làm đường nội đồng Rọc Muống (đoạn từ nhà ông Tòng đến nhà ông tư Đông)</t>
  </si>
  <si>
    <t>Nạo vét kênh Thành Lập 2</t>
  </si>
  <si>
    <t>Nâng cấp, sửa chữa các cống cánh đồng Giồng Găng</t>
  </si>
  <si>
    <t>Nâng cấp, sửa chữa các cống cánh đồng An Lộc, An Thọ</t>
  </si>
  <si>
    <t>Nâng cấp, sửa chữa cống tiêu bờ Đông kênh Ngọn Cũ (Nhà ông 8 Dong)</t>
  </si>
  <si>
    <t>Nâng cấp, sửa chữa cống tiêu THT 19-20-21 (Láng Cát)</t>
  </si>
  <si>
    <t>Nâng cấp, sửa chữa cống tiêu Cây Me</t>
  </si>
  <si>
    <t>Nâng cấp, sửa chữa cống tiêu Bào Môn</t>
  </si>
  <si>
    <t>Nâng cấp, sửa chữa cống nương tiêu Tám Quýt</t>
  </si>
  <si>
    <t>Nâng cấp, sửa chữa cống tiêu cánh đồng THT số 12 ấp Gò Bói</t>
  </si>
  <si>
    <t>Nâng cấp, sửa chữa cống tiêu bờ Đông kênh Tân Công Chí (Đìa 70)</t>
  </si>
  <si>
    <t>VỐN HỖ TRỢ SẢN XUẤT LÚA NƯỚC</t>
  </si>
  <si>
    <t>Cứng hóa mặt đê bao ranh An Tài</t>
  </si>
  <si>
    <t>Nâng cấp, sửa chửa đê bao lững đường nội đồng Tân Thành A- Tân Phước</t>
  </si>
  <si>
    <t>Đường nội đồng Gò 6 Bê (nối dài)</t>
  </si>
  <si>
    <t>Đường nội đồng ông Hai Chảy</t>
  </si>
  <si>
    <t>Đê bao lửng bờ Bắc kênh Giồng Nhỏ (đoạn từ kênh Ngọn Cũ đến ranh Long An)</t>
  </si>
  <si>
    <t>Cứng hóa đường nội đồng THT 19, 20, 21</t>
  </si>
  <si>
    <t>Nâng cấp cứng hóa mặt đê bờ đông kênh Ngọn Cũ (đoạn từ cầu Bào Lức đến kênh Giồng Nhỏ)</t>
  </si>
  <si>
    <t>QĐ 471 17/12/2020</t>
  </si>
  <si>
    <t>QĐ 474 22/12/2020</t>
  </si>
  <si>
    <t>Số 01/2021/HĐ-XD ngày 13/01/2021;  KC-HT: '20/01/2021-20/05/2021</t>
  </si>
  <si>
    <t>Kế hoạch vốn  năm 2021</t>
  </si>
  <si>
    <t>Theo kế hoạch UBND Tỉnh (Huyện) giao đầu năm</t>
  </si>
  <si>
    <t>Kế hoạch bổ sung thêm so với QĐ của UBND Tỉnh (Huyện) giao đầu năm</t>
  </si>
  <si>
    <t>CÔNG TRÌNH NĂM 2021</t>
  </si>
  <si>
    <t>xã TB+TTA</t>
  </si>
  <si>
    <t>Cụm dân cư Cả Sơ</t>
  </si>
  <si>
    <t>Cụm dân cư Tân Công Chí</t>
  </si>
  <si>
    <t>Trung tâm Văn hóa - Học tập cộng đồng xã Tân Phước</t>
  </si>
  <si>
    <t>Trung tâm Văn hóa - Học tập cộng đồng xã Tân Thành A</t>
  </si>
  <si>
    <t xml:space="preserve">Trường MG Tân Phước </t>
  </si>
  <si>
    <t xml:space="preserve">Trường MN Thị trấn Sa Rài </t>
  </si>
  <si>
    <t xml:space="preserve">Trường MG Tân Công Chí </t>
  </si>
  <si>
    <t>Trường TH Trần Phú</t>
  </si>
  <si>
    <t>Trường TH Nguyễn Huệ</t>
  </si>
  <si>
    <t>Trường THCS Nguyễn Quang Diêu</t>
  </si>
  <si>
    <t>Trường THCS Tân Phước</t>
  </si>
  <si>
    <t>Trường THCS Tân Hộ Cơ</t>
  </si>
  <si>
    <t>Đường Tân Thành (Long Sơn Ngọc - Biên Giới) đoạn từ bến đò Long Sơn Ngọc đến chợ Biên Giới Thông Bình (hỗ trợ có mục tiêu)</t>
  </si>
  <si>
    <t>ĐH Tân Thành Đông đoạn từ cầu Chòi Mòi đến cầu Bàu Lức (hỗ trợ có mục tiêu)</t>
  </si>
  <si>
    <t>VỐN SỰ NGHIỆP KINH TẾ CỦA TỈNH HỖ TRỢ NĂM 2021</t>
  </si>
  <si>
    <t>Đường Nguyễn Văn Tiệp (đoạn từ đê bao phía Tây - Đường Lê Lợi); HM: Vỉa hè</t>
  </si>
  <si>
    <t>Đường Hai Bà Trưng (đoạn từ đường 30/4 - đường 3/2); HM: Nền, mặt đường, Cống, Vỉa hè</t>
  </si>
  <si>
    <t>Đường Nguyễn Tri phương (đoạn từ Trần Phú- Trần Văn Thế); HM: Vỉa hè</t>
  </si>
  <si>
    <t>Đường Nguyễn Du (đoạn từ 502- mương tiêu đê bao phía Nam); HM: Vỉa hè</t>
  </si>
  <si>
    <t>Đường Lý Thường Kiệt (đoạn từ 30/4- Trần Hưng Đạo); HM: Vỉa hè</t>
  </si>
  <si>
    <t>Đường Thiên Hộ Dương (đoạn từ đường Giồng Thị Đam đến đường 30/4); HM: Vỉa hè</t>
  </si>
  <si>
    <t>QĐ 1984 30/12/2020 Tỉnh (vốn trung ương)</t>
  </si>
  <si>
    <t>QĐ 41 28/01/2021 Huyện (phân khai)</t>
  </si>
  <si>
    <t>Số 352/QĐ-UBND.ĐTXD, ngày 31/10/2020 của UBND Huyện</t>
  </si>
  <si>
    <t>Số 353/QĐ-UBND.ĐTXD, ngày 31/10/2020 của UBND Huyện</t>
  </si>
  <si>
    <t>VỐN DỰ PHÒNG CHUNG KH ĐẦU TƯ CÔNG TRUNG HẠN GIAI ĐOẠN 2016-2020</t>
  </si>
  <si>
    <t>VỐN NGÂN SÁCH TẬP TRUNG</t>
  </si>
  <si>
    <t>VỐN XSKT</t>
  </si>
  <si>
    <t>VỐN SỰ NGHIỆP KINH TẾ KHÁC NĂM 2020</t>
  </si>
  <si>
    <t>Cống tiêu Ba Tâm</t>
  </si>
  <si>
    <t>Cống tiêu Lô 3</t>
  </si>
  <si>
    <t>Cống tiêu THT số 3</t>
  </si>
  <si>
    <t>Cống tiêu THT số 13 (nối dài đến kênh Chòi Mòi)</t>
  </si>
  <si>
    <t>II.6</t>
  </si>
  <si>
    <t>QĐ 61 04/02/2021</t>
  </si>
  <si>
    <t>QĐ 60 04/02/2021 Huyện (phân khai điều chỉnh)</t>
  </si>
  <si>
    <t>DANH MỤC CÔNG TRÌNH ĐẦU TƯ XÂY DỰNG NĂM 2021</t>
  </si>
  <si>
    <t>Đang lập thủ tục chấm dứt hợp đồng</t>
  </si>
  <si>
    <t xml:space="preserve">   - Tổng kế hoạch vốn năm 2021:</t>
  </si>
  <si>
    <t>Nạo vét kênh Cả Trấp 1 (từ Cầu Cả Trấp 1 đoạn giữa đến giáp Long An).</t>
  </si>
  <si>
    <t>Số 03/2021/HĐ-XD ngày 17/02/2021;  KC-HT: '22/02/2021-23/05/2021</t>
  </si>
  <si>
    <t>Số 04/2021/HĐ-XD ngày 17/02/2021;  KC-HT: '22/02/2021-23/05/2021</t>
  </si>
  <si>
    <t>Công ty TNHH Duy Khánh</t>
  </si>
  <si>
    <t>Số 05/2021/HĐ-XD ngày 17/02/2021;  KC-HT: '22/02/2021-23/06/2021</t>
  </si>
  <si>
    <t>Công ty TNHH Khang Trang</t>
  </si>
  <si>
    <t>xã Ap</t>
  </si>
  <si>
    <t>Số 209/QĐ-UBND.ĐTXD, ngày 30/10/2020 của UBND Huyện</t>
  </si>
  <si>
    <t>Số 211/QĐ-UBND.ĐTXD, ngày 30/10/2020 của UBND Huyện</t>
  </si>
  <si>
    <t>Số 210/QĐ-UBND.ĐTXD, ngày 30/10/2020 của UBND Huyện</t>
  </si>
  <si>
    <t>Số 208/QĐ-UBND.ĐTXD, ngày 30/10/2020 của UBND Huyện</t>
  </si>
  <si>
    <t>Số 212/QĐ-UBND.ĐTXD, ngày 30/10/2020 của UBND Huyện</t>
  </si>
  <si>
    <t>Số 206/QĐ-UBND.ĐTXD, ngày 30/10/2020 của UBND Huyện</t>
  </si>
  <si>
    <t>Số 204/QĐ-UBND.ĐTXD, ngày 30/10/2020 của UBND Huyện</t>
  </si>
  <si>
    <t>Số 205/QĐ-UBND.ĐTXD, ngày 30/10/2020 của UBND Huyện</t>
  </si>
  <si>
    <t>Số 207/QĐ-UBND.ĐTXD, ngày 30/10/2020 của UBND Huyện</t>
  </si>
  <si>
    <t>Số 219/QĐ-UBND.ĐTXD, ngày 30/10/2020 của UBND Huyện</t>
  </si>
  <si>
    <t>Số 220/QĐ-UBND.ĐTXD, ngày 30/10/2020 của UBND Huyện</t>
  </si>
  <si>
    <t>Số 397/QĐ-UBND.ĐTXD, ngày 24/11/2020 của UBND Huyện</t>
  </si>
  <si>
    <t>Số 430/QĐ-UBND.ĐTXD, ngày 24/12/2020 của UBND Huyện</t>
  </si>
  <si>
    <t>Số 410/QĐ-UBND.ĐTXD, ngày 14/12/2020 của UBND Huyện</t>
  </si>
  <si>
    <t>Số 411/QĐ-UBND.ĐTXD, ngày 15/12/2020 của UBND Huyện</t>
  </si>
  <si>
    <t>Số 429/QĐ-UBND.ĐTXD, ngày 24/12/2020 của UBND Huyện</t>
  </si>
  <si>
    <t>Số 426/QĐ-UBND.ĐTXD, ngày 23/12/2020 của UBND Huyện</t>
  </si>
  <si>
    <t>Hoàn thành</t>
  </si>
  <si>
    <t>TÌNH HÌNH THỰC HIỆN VÀ GIẢI NGÂN KẾ HOẠCH VỐN NĂM 2021 CỦA CÁC CHỦ ĐẦU TƯ</t>
  </si>
  <si>
    <t>VỐN KẾT DỰ NGÂN SÁCH TỈNH NĂM 2019</t>
  </si>
  <si>
    <t>Chốt kiểm soát biên phòng phục vụ công tác phòng, chống dịch Covid-19</t>
  </si>
  <si>
    <t>QĐ 91 05/03/2021 Huyện (phân khai)</t>
  </si>
  <si>
    <t>Số 1986/QĐ-UBND.HC, ngày 30/12/2020 của UBND Tỉnh</t>
  </si>
  <si>
    <t>Gói thầu số 02 – Thi công Xây dựng Chốt KSBP Dinh Bà loại 1 (Đồn 909)</t>
  </si>
  <si>
    <t>Công ty TNHH MTV Xây dựng Vạn Phát Đồng Tháp</t>
  </si>
  <si>
    <t>Số 08/2021/HĐ-XD ngày 05/03/2021;  KC-HT: '08/03/2021-07/05/2021</t>
  </si>
  <si>
    <t>Gói thầu số 03 – Thi công Xây dựng Chốt KSBP Dinh Bà loại 2 (Đồn 909)</t>
  </si>
  <si>
    <t>Số 09/2021/HĐ-XD ngày 05/03/2021;  KC-HT: '08/03/2021-07/05/2021</t>
  </si>
  <si>
    <t>Công ty TNHH MTV Xây dựng – Thương mại – Dịch vụ Như Hiếu</t>
  </si>
  <si>
    <t>Gói thầu số 01 – Thi công Xây dựng Chốt KSBP Thông Bình (Đồn 905)</t>
  </si>
  <si>
    <t>Số 07/2021/HĐ-XD ngày 05/03/2021;  KC-HT: '08/03/2021-07/05/2021</t>
  </si>
  <si>
    <t>VỐN TĂNG THU TIỀN SỬ DỤNG ĐẤT CÁC NĂM TRƯỚC VÀ NĂM 2020</t>
  </si>
  <si>
    <t>VỐN THỦY LỢI PHÍ TRUNG ƯƠNG HỖ TRỢ NĂM 2021</t>
  </si>
  <si>
    <t>Số 10/2021/HĐ-XD ngày 16/03/2021;  KC-HT: '22/03/2021-17/01/2022</t>
  </si>
  <si>
    <t>Số 12/2021/HĐ-XD ngày 16/03/2021;  KC-HT: '23/03/2021-21/07/2021</t>
  </si>
  <si>
    <t>Công ty Cổ phần Tư vấn Xây dựng Tỷ Thịnh Phát</t>
  </si>
  <si>
    <t>Số 11/2021/HĐ-XD ngày 16/03/2021;  KC-HT: '23/03/2021-21/07/2021</t>
  </si>
  <si>
    <t>Công ty TNHH Nghĩa Phát Tân Hồng</t>
  </si>
  <si>
    <t>QĐ 111/QĐ 23/03/2021 Huyện (vốn đối ứng)</t>
  </si>
  <si>
    <t>QĐ 110 23/03/2021</t>
  </si>
  <si>
    <t>Số 214/QĐ-UBND.ĐTXD, ngày 30/10/2020 của UBND Huyện</t>
  </si>
  <si>
    <t>Số 217/QĐ-UBND.ĐTXD, ngày 30/10/2020 của UBND Huyện</t>
  </si>
  <si>
    <t>Số 13/2021/HĐ-XD ngày 16/03/2021;  KC-HT: '23/03/2021-22/05/2021</t>
  </si>
  <si>
    <t>Công ty TNHH Quốc Thái Đồng Tháp</t>
  </si>
  <si>
    <t>Số 14/2021/HĐ-XD ngày 19/03/2021;  KC-HT: '26/03/2021-24/07/2021</t>
  </si>
  <si>
    <t>Số 15/2021/HĐ-XD ngày 19/03/2021;  KC-HT: '26/03/2021-24/07/2021</t>
  </si>
  <si>
    <t>Liên danh Công ty TNHH Đức Tâm - Công ty TNHH Trung Nam</t>
  </si>
  <si>
    <t>Số 16/2021/HĐ-XD ngày 26/03/2021;  KC-HT: '02/04/2021-27/01/2022</t>
  </si>
  <si>
    <t>Số 17/2021/HĐ-XD ngày 26/03/2021;  KC-HT: '29/03/2021-27/06/2021</t>
  </si>
  <si>
    <t>CHỦ ĐẦU TƯ</t>
  </si>
  <si>
    <t xml:space="preserve">CỘNG HÒA XÃ HỘI CHỦ NGHĨA VIỆT NAM  </t>
  </si>
  <si>
    <t>Độc Lập - Tự Do - Hạnh Phúc</t>
  </si>
  <si>
    <t>PHỤ LỤC 1:  TIẾN ĐỘ THỰC HIỆN CÔNG TRÌNH NGUỒN VỐN
 HỖ TRỢ TIỀN SỬ DỤNG SẢN PHẨM, DỊCH VỤ CÔNG ÍCH THỦY LỢI NĂM 2021</t>
  </si>
  <si>
    <t>Tên công trình</t>
  </si>
  <si>
    <t>Địa điểm</t>
  </si>
  <si>
    <t>Kế hoạch vốn năm 2021
 (Triệu đồng)</t>
  </si>
  <si>
    <t>Kế hoạch công trình năm 2021</t>
  </si>
  <si>
    <t>Ghi  chú
(Nêu tiến độ thực hiện)</t>
  </si>
  <si>
    <t>Số CT</t>
  </si>
  <si>
    <t>DTPV 
(ha)</t>
  </si>
  <si>
    <t>Bề rộng đáy kênh hay mặt bờ 
(m)</t>
  </si>
  <si>
    <t xml:space="preserve">Cao trình đáy kênh hay mặt bờ </t>
  </si>
  <si>
    <t>Chiều dài 
(m)</t>
  </si>
  <si>
    <t>Khối lượng 
(m3)</t>
  </si>
  <si>
    <t>Tổng mức đầu tư 
(Triệu đồng)</t>
  </si>
  <si>
    <t>Kinh phí thực hiện  
(Triệu đồng)</t>
  </si>
  <si>
    <t>Giải ngân
(Triệu đồng)</t>
  </si>
  <si>
    <t xml:space="preserve">Nạo vét kênh mương </t>
  </si>
  <si>
    <t>Sửa chữa bờ bao</t>
  </si>
  <si>
    <t>Sửa chữa các cống</t>
  </si>
  <si>
    <r>
      <t xml:space="preserve">* </t>
    </r>
    <r>
      <rPr>
        <b/>
        <sz val="12"/>
        <color indexed="8"/>
        <rFont val="Times New Roman"/>
        <family val="1"/>
      </rPr>
      <t>Lưu ý</t>
    </r>
    <r>
      <rPr>
        <sz val="12"/>
        <color indexed="8"/>
        <rFont val="Times New Roman"/>
        <family val="1"/>
      </rPr>
      <t>: Ghi đầy đủ thông tin theo biểu mẫu.</t>
    </r>
  </si>
  <si>
    <t>(Ký tên và đóng dấu)</t>
  </si>
  <si>
    <t xml:space="preserve"> - Lưu VT.</t>
  </si>
  <si>
    <t xml:space="preserve">PHỤ LỤC 2: TIẾN ĐỘ THỰC HIỆN CÔNG TRÌNH NGUỒN VỐN 
HỖ TRỢ PHÁT TRIỂN ĐẤT TRỒNG LÚA NĂM 2021 </t>
  </si>
  <si>
    <t>Nạo vét kênh mương (Hoặc kiên cố hóa đường nước nội đồng)</t>
  </si>
  <si>
    <t>Nâng cấp bờ bao</t>
  </si>
  <si>
    <t>Xây dựng các cống</t>
  </si>
  <si>
    <t>Cứng hóa mặt bờ bao</t>
  </si>
  <si>
    <t>-0,5m</t>
  </si>
  <si>
    <t>Bđ =5,00 m</t>
  </si>
  <si>
    <r>
      <t>B</t>
    </r>
    <r>
      <rPr>
        <sz val="10"/>
        <color indexed="8"/>
        <rFont val="Times New Roman"/>
        <family val="1"/>
      </rPr>
      <t>đ = 4,0 m</t>
    </r>
  </si>
  <si>
    <t>-1,00 m</t>
  </si>
  <si>
    <t>L=60 58</t>
  </si>
  <si>
    <t>Cao trình đáy (+0 500)</t>
  </si>
  <si>
    <t>Bản đáy thân cống dày 0.30m</t>
  </si>
  <si>
    <t>L = 11,28</t>
  </si>
  <si>
    <t>+0,00 m</t>
  </si>
  <si>
    <t>B = 4,0m</t>
  </si>
  <si>
    <t>L = 15,68</t>
  </si>
  <si>
    <t>+0,50 m</t>
  </si>
  <si>
    <t>B = 5,0m</t>
  </si>
  <si>
    <t>+5.200m</t>
  </si>
  <si>
    <t>Bmặt = 5m</t>
  </si>
  <si>
    <t>Bmặt=3,5m</t>
  </si>
  <si>
    <t>+4.400</t>
  </si>
  <si>
    <t>0% ÷ 12,5%</t>
  </si>
  <si>
    <t>Bmặt =3,00m</t>
  </si>
  <si>
    <t>0% ÷ 10%</t>
  </si>
  <si>
    <t>-0,25m</t>
  </si>
  <si>
    <t>Bđ = 4,0-5,0</t>
  </si>
  <si>
    <t>Số 19/2021/HĐ-XD ngày 26/03/2021;  KC-HT: '30/03/2021-29/05/2021</t>
  </si>
  <si>
    <t>Số 20/2021/HĐ-XD ngày 26/03/2021;  KC-HT: '01/04/2021-30/06/2021</t>
  </si>
  <si>
    <t>Số 18/2021/HĐ-XD ngày 26/03/2021;  KC-HT: '30/03/2021-28/06/2021</t>
  </si>
  <si>
    <t>Số 21/2021/HĐ-XD ngày 26/03/2021;  KC-HT: '01/04/2021-31/05/2021</t>
  </si>
  <si>
    <t>Đang hoàn thiện</t>
  </si>
  <si>
    <t>Số 22/2021/HĐ-XD ngày 30/03/2021;  KC-HT: '06/04/2021-05/06/2021</t>
  </si>
  <si>
    <t>Nguồn vốn (kể cả vốn đầu tư công ngân sách cấp huyện quản lý)</t>
  </si>
  <si>
    <t>Lũy kế giải ngân từ khởi công đến hết năm trước</t>
  </si>
  <si>
    <t>Kế hoạch vốn trung hạn</t>
  </si>
  <si>
    <t>Tổng vốn kế hoạch hằng năm (kể cả kéo dài)</t>
  </si>
  <si>
    <t>Lũy kế giải ngân tính từ ngày 01/01 hằng năm đến thời điểm báo cáo</t>
  </si>
  <si>
    <t>Lũy kế giá trị khối lượng đã thi công tính từ đầu năm đến thời điểm báo cáo</t>
  </si>
  <si>
    <t>Tình hình triển khai thực hiện dự án</t>
  </si>
  <si>
    <t>Dự kiến những công việc thực hiện trong tháng tới</t>
  </si>
  <si>
    <t xml:space="preserve">Những nguyên nhân, vướng mắc </t>
  </si>
  <si>
    <t>Giai đoạn lập, thẩm định và phê duyệt chủ trương đầu tư</t>
  </si>
  <si>
    <t>Giai đoạn lập, thẩm định, phê duyệt dự án đầu tư</t>
  </si>
  <si>
    <t>Tiến độ giải phóng mặt bằng (nếu có)</t>
  </si>
  <si>
    <t>Giai đoạn lựa chọn nhà thầu</t>
  </si>
  <si>
    <t>Tình hình triển khai thực hiện các gói thầu</t>
  </si>
  <si>
    <t>Lập kế hoạch sử dụng đất</t>
  </si>
  <si>
    <t>Tổ chức cắm mốc giải phóng mặt bằng</t>
  </si>
  <si>
    <t>Lập kế hoạch và ban hành thông báo thu hồi đất</t>
  </si>
  <si>
    <t>Thẩm định điều kiện thu hồi đất và định giá đất</t>
  </si>
  <si>
    <t>Niêm yết giá, thẩm định, phê duyệt phương án đền bù</t>
  </si>
  <si>
    <t>Kế hoạch năm trước chuyển sang</t>
  </si>
  <si>
    <t>Kế hoạch hằng năm</t>
  </si>
  <si>
    <t>Tổ chức lập hồ sơ Báo cáo đề xuất chủ trương đầu tư</t>
  </si>
  <si>
    <t>Thẩm Báo cáo đề xuất chủ trương đầu tư</t>
  </si>
  <si>
    <t>Hoàn thiện  theo KQ thẩm định</t>
  </si>
  <si>
    <t>Cấp có thẩm quyền xem xét, Quyết định chủ trương đầu tư</t>
  </si>
  <si>
    <t>Lập các chi phí và kế hoạch lựa chọn nhà thầu giai đoạn chuẩn bị đầu tư</t>
  </si>
  <si>
    <t>Thẩm định, phê duyệt chi phí và kế hoạch lựa chọn nhà thầu giai đoạn chuẩn bị đầu tư</t>
  </si>
  <si>
    <t>Tổ chức lựa chọn nhà thầu: lập Dự án; khảo sát xây dựng (nếu có)</t>
  </si>
  <si>
    <t>Thực hiện lập hồ sơ Dự án; hồ sơ khảo sát xây dựng (nếu có)</t>
  </si>
  <si>
    <t>Thực hiện kiểm tra, trình thẩm định hồ sơ Dự án-TKCS</t>
  </si>
  <si>
    <t>Tổ chức thẩm định hồ sơ Dự án-TKCS</t>
  </si>
  <si>
    <t>Hoàn thiện hồ sơ Dự án theo KQ thẩm định</t>
  </si>
  <si>
    <t>Xem xét, Quyết định đầu tư Dự án</t>
  </si>
  <si>
    <t>Lập Kế hoạch lựa chọn nhà thầu</t>
  </si>
  <si>
    <t>Thẩm định Kế hoạch lựa chọn nhà thầu</t>
  </si>
  <si>
    <t>Quyết định phê duyệt Kế hoạch lựa chọn nhà thầu của Dự án</t>
  </si>
  <si>
    <t>Lập hồ sơ thiết kế bản vẽ thi công - dự toán (nếu có)</t>
  </si>
  <si>
    <t>Thẩm định hồ sơ thiết kế bản vẽ thi công - dự toán (nếu có)</t>
  </si>
  <si>
    <t>Quyết định phê duyêt thiết kế bản vẽ thi công - dự toán (nếu có)</t>
  </si>
  <si>
    <t>Tổ chức xét thầu</t>
  </si>
  <si>
    <t>Ký hợp đồng thi công và ngày hoàn thành hợp đồng</t>
  </si>
  <si>
    <r>
      <t xml:space="preserve">Tiến độ giải phóng mặt bằng </t>
    </r>
    <r>
      <rPr>
        <sz val="10"/>
        <rFont val="Times New Roman"/>
        <family val="1"/>
      </rPr>
      <t>(hoàn thành thì đánh "X", đang thực hiện thì ghi tên đơn vị phụ trách )</t>
    </r>
  </si>
  <si>
    <t>Ước giải ngân cả năm 2021 (kể cả kéo dài)</t>
  </si>
  <si>
    <t>I.4</t>
  </si>
  <si>
    <t>DPC KHĐT TH GĐ 2016-2020</t>
  </si>
  <si>
    <t>NSTT + NSH</t>
  </si>
  <si>
    <t>SN KT Tỉnh</t>
  </si>
  <si>
    <t>KD NS Tỉnh</t>
  </si>
  <si>
    <t>TLP</t>
  </si>
  <si>
    <t>LN</t>
  </si>
  <si>
    <t>SN KT khác</t>
  </si>
  <si>
    <t>TLP kết dư</t>
  </si>
  <si>
    <t>Thu tiền SDĐ</t>
  </si>
  <si>
    <t>Tăng thu tiền SDĐ</t>
  </si>
  <si>
    <t>Chuẩn bị hồ sơ mời thầu</t>
  </si>
  <si>
    <t>Đang thi công đào nền bó vỉa hè và tường chắn vỉa hè</t>
  </si>
  <si>
    <t>Ghi chú (Tiến độ thi công)</t>
  </si>
  <si>
    <t>Khuôn viên Huyện uỷ Tân Hồng</t>
  </si>
  <si>
    <t>Trụ sở các cơ quan hành chính Huyện</t>
  </si>
  <si>
    <t>VỐN KẾT DƯ NGÂN SÁCH NĂM 2020 CHUYỂN SANG NĂM 2021</t>
  </si>
  <si>
    <t>II.7</t>
  </si>
  <si>
    <t>TT. Sa Rài</t>
  </si>
  <si>
    <t>KDNS</t>
  </si>
  <si>
    <t>QĐ 129 15/04/2021</t>
  </si>
  <si>
    <t>Chủ đầu tư đang lập thủ tục chấm dứt Hợp đồng thi công xây dựng như: Đối chiếu công nợ, xác định khối lượng đã thi công, thu hồi tạm ứng ….</t>
  </si>
  <si>
    <t>trong quá trình thi công thì có người rút cổ phần ra khỏi Doanh
nghiệp nên người còn lại không đủ khả năng tài chính để thực hiện</t>
  </si>
  <si>
    <t>giao thầu cho Đơn vị thi công khác áp dụng theo đơn giá của Hợp đồng số 65/2018/HĐXD ngày 24/12/2018 nhằm tiết kiệm cho ngân sách nhà nước (-74.706.000) đồng</t>
  </si>
  <si>
    <t>Sớm ghi vốn để triển khai hạng mục 03 phòng học (điểm chợ biên giới)</t>
  </si>
  <si>
    <t>Nhưng khi Nhà thầu triển khai thi công thì người dân ngăn cản không cho thi công, yêu cầu phải trả tiền phần ông Đông thiếu nợ, Nhà thầu có chi tiền để trả những món nợ nhỏ, còn lại họ cho rằng là nợ của ông Đông nên chờ Tòa án xử lý nhưng người dân vẫn ngăn cản không cho thi công làm ảnh hưởng đến tiến độ và chi phí của Nhà thầu</t>
  </si>
  <si>
    <t>UBND huyện đã cho chủ trương chấm dứt hợp đồng thi công. Chủ đầu tư xin giao thầu cho Đơn vị thi công khác áp dụng theo đơn giá của Hợp đồng số 45/2019/HĐXD ngày 27/06/2019 nhằm tiết kiệm cho ngân sách nhà nước và đẩy nhanh tiến độ thi công.</t>
  </si>
  <si>
    <t xml:space="preserve">Công trình này còn vướng lại 01 phòng học Gò Thầy Tám. Do Tranh chấp đất Nhà trường với người dân. UBND xã Tân Hộ Cơ và Phòng Giáo dục và Đào tạo chưa tìm được khu đất mới để xây dựng, </t>
  </si>
  <si>
    <t>Đề xuất UBND huyện chỉ đạo UBND xã và Phòng Giáo dục sớm kiếm được mặt bằng để triển khai thi công 01 phòng còn lại.</t>
  </si>
  <si>
    <t>Tháo dở dầm, sàn, cầu thang, cột tầng 1</t>
  </si>
  <si>
    <t>Chất lượng bê tông dầm, sàn, cầu thang tầng 1 không đạt đúng theo hồ sơ thiết kế.</t>
  </si>
  <si>
    <t xml:space="preserve">Thi công hố ga và bó vỉa </t>
  </si>
  <si>
    <t>Hoàn thành công trình</t>
  </si>
  <si>
    <t>Nạo vét kênh</t>
  </si>
  <si>
    <t>đào lòng đường và đổ đá 0x4 lớp 1 trên toàn tuyến 3,8km/3,8km</t>
  </si>
  <si>
    <t>Vướng mặt bằng thi công và di dời đường ống nước sạch. (Đã giải quyết xong)</t>
  </si>
  <si>
    <t>Tưới nhựa trên toàn tuyến đường</t>
  </si>
  <si>
    <t>Tiến hành thi công sân đan và hàng rào.</t>
  </si>
  <si>
    <t>Thi công hàng rào</t>
  </si>
  <si>
    <t>Thi công lát gạch</t>
  </si>
  <si>
    <t>`</t>
  </si>
  <si>
    <t>thi công lát gạch</t>
  </si>
  <si>
    <t>thi công lát gạch, hệ thống điện.</t>
  </si>
  <si>
    <t>Công ty TNHH MTV Tư vấn Đầu tư Xây dựng Trường Phát Đồng Tháp</t>
  </si>
  <si>
    <t>Số 23/2021/HĐ-XD ngày 13/04/2021;  KC-HT: '20/04/2021-17/10/2021</t>
  </si>
  <si>
    <t>Số 24/2021/HĐ-XD ngày 16/04/2021;  KC-HT: '23/04/2021-21/08/2021</t>
  </si>
  <si>
    <t>DNTN Bình Minh Tân Hồng</t>
  </si>
  <si>
    <t xml:space="preserve">Đang triển khai thi công </t>
  </si>
  <si>
    <t>Số 25/2021/HĐ-XD ngày 22/04/2021;  KC-HT: '29/04/2021-27/08/2021</t>
  </si>
  <si>
    <t>Đang thẩm tra</t>
  </si>
  <si>
    <t>Tạm dừng chưa thực hiện</t>
  </si>
  <si>
    <t>Trùng trong danh mục đầu tư NCCH mặt đê BĐ kênh Ngọn Cũ (Cầu Bào Lức đến kênh Giồng Nhỏ)</t>
  </si>
  <si>
    <t>Số 26/2021/HĐ-XD ngày 27/04/2021;  KC-HT: '28/04/2021-26/08/2021</t>
  </si>
  <si>
    <t>Công ty TNHH Thái Hoàng Thông</t>
  </si>
  <si>
    <t>Số 27/2021/HĐ-XD ngày 27/04/2021;  KC-HT: '28/04/2021-26/08/2021</t>
  </si>
  <si>
    <t>Công ty TNHH Đầu tư Xây dựng và Thương mại Minh Mẫn</t>
  </si>
  <si>
    <t>Cao trình đáy sòng bơm (+1 500)</t>
  </si>
  <si>
    <t>Kích thướt sòng bơm 2 5x2 5m</t>
  </si>
  <si>
    <t>L=5m</t>
  </si>
  <si>
    <t>Cao trình đáy (+0 000)</t>
  </si>
  <si>
    <t>Cao trình tường đầu cống (+2.500).</t>
  </si>
  <si>
    <t>Số 761/QĐ-UBND.HC ngày 2/05/2020 của UBND Tỉnh</t>
  </si>
  <si>
    <t>Ngưng thi công do không có mặt bằng</t>
  </si>
  <si>
    <t>Bàn giao 6 phòng học; Còn lại điểm Gò Thầy Tám đang xin chủ trương cắt giảm do không có mặt bằng</t>
  </si>
  <si>
    <t>Đang lập phương án tháo dỡ BT sàn lầu 1</t>
  </si>
  <si>
    <t>Đang thi công nạo vét kênh</t>
  </si>
  <si>
    <t>Đang thi công hàng rào</t>
  </si>
  <si>
    <t>Đang lót vỉa hè</t>
  </si>
  <si>
    <t>Đang đào đất</t>
  </si>
  <si>
    <t>Số 28/2021/HĐ-XD ngày 07/05/2021;  KC-HT: '14/05/2021-13/07/2021</t>
  </si>
  <si>
    <t>Công ty TNHH MTV Tư vấn Xây dựng Đồng Phú</t>
  </si>
  <si>
    <t>Nâng cấp, sửa chửa đê bao lững đường nội đồng Tân Thành A - Tân Phước</t>
  </si>
  <si>
    <t>Số 40/2018/HĐ-XD ngày 10/08/2018; KC-HT: 17/08/2018-02/08/2019; PKGH 30/06/2021</t>
  </si>
  <si>
    <t>Đang thi công san lấp mặt bằng và rải đá lớp 1</t>
  </si>
  <si>
    <t>Còn vướng một số hộ dân xây lấn chiếm chưa bàn giao mặt bằng</t>
  </si>
  <si>
    <t>UBND xã tiếp tục vận động người dân giao mặt bằng</t>
  </si>
  <si>
    <t>Còn vướng một số hộ dân xây lấn chiếm vỉa hè chưa bàn giao mặt bằng</t>
  </si>
  <si>
    <t>Hoàn thiện phần đổ đá 4x6 và tưới nhựa</t>
  </si>
  <si>
    <t>UBND xã làm việc với người nuôi cá giao mặt bằng thi công</t>
  </si>
  <si>
    <t>UBND thị trấn sớm vận động người dân bàn giao mặt bằng</t>
  </si>
  <si>
    <t>Còn vướng một số hộ dân chưa giao mặt bằng</t>
  </si>
  <si>
    <t>Trường TH Tân Công Chí 1</t>
  </si>
  <si>
    <t>Trường TH Bình Phú 2</t>
  </si>
  <si>
    <t>Trường TH Tân Thành B2</t>
  </si>
  <si>
    <t>Trường THCS Nguyễn Văn Trỗi</t>
  </si>
  <si>
    <t>Trường MG Tân Thành A (điểm chính)</t>
  </si>
  <si>
    <t>QĐ 576 19/05/2021 Tỉnh (vốn XSKT đợt 2)</t>
  </si>
  <si>
    <t>xã TTB-TP</t>
  </si>
  <si>
    <t>Đường Thống Nhất (đoạn từ kênh Hồng Ngự Vĩnh Hưng đến Quốc lộ 30)</t>
  </si>
  <si>
    <t>ĐH Bắc Trang</t>
  </si>
  <si>
    <t>ĐH Tứ Tân đoạn ĐH Tân Thành B - Tân Phước đến ĐH Tân Thành Tây</t>
  </si>
  <si>
    <t>ĐH Việc Thược</t>
  </si>
  <si>
    <t>Đang lập HSTK</t>
  </si>
  <si>
    <t>QĐ 169 25/05/2021 Huyện (Chuyển nguồn)</t>
  </si>
  <si>
    <t>QĐ 171/QĐ-UBND.HC ngày 26/05/2021 Huyện (chi chuyển nguồn)</t>
  </si>
  <si>
    <t>Đã mời nhà thầu nhiều lần nhưng nhà thầu không đến tham dự</t>
  </si>
  <si>
    <t>Đã tưới nhựa 2km/2,18km; còn lại 180m vướng mặt bằng chờ UBND xã làm việc với chủ hầm cá</t>
  </si>
  <si>
    <t>QĐ 173 01/06/2021 Huyện (phân khai đợt 2)</t>
  </si>
  <si>
    <t>VỐN TĂNG THU NỘI ĐỊA CẤP TỈNH NĂM 2020 CHUYỂN SANG NĂM 2021</t>
  </si>
  <si>
    <t>Chùa Phước Thiện</t>
  </si>
  <si>
    <t>Đền thờ Huỳnh Công Huy</t>
  </si>
  <si>
    <t>Số 113/QĐ-UBND.ĐTXD, ngày 26/05/2021 của UBND Huyện</t>
  </si>
  <si>
    <t>Số 114/QĐ-UBND.ĐTXD, ngày 26/05/2021 của UBND Huyện</t>
  </si>
  <si>
    <t>QĐ 185 03/06/2021 Huyện</t>
  </si>
  <si>
    <t>TTNĐ</t>
  </si>
  <si>
    <t>TỔNG CỘNG (A+B)</t>
  </si>
  <si>
    <t>Đang lắp dựng cốt thép đà kiềng</t>
  </si>
  <si>
    <t>Đang thi công đắp lề và đỗ BT bó vỉa</t>
  </si>
  <si>
    <t>Đang trình thẩm định dự án</t>
  </si>
  <si>
    <t>Tân Hồng, ngày  11  tháng 06 năm 2021</t>
  </si>
  <si>
    <t>Số 124/QĐ-UBND.ĐTXD, ngày 11/06/2021 của UBND Huyện</t>
  </si>
  <si>
    <t>Số 215/QĐ-UBND.ĐTXD, ngày 30/10/2020 của UBND Huyện</t>
  </si>
  <si>
    <t>Số 287/QĐ-UBND.ĐTXD, ngày 28/12/2020 của UBND Huyện</t>
  </si>
  <si>
    <t>VỐN KẾT DƯ THỦY LỢI PHÍ NĂM 2020 CHUYỂN SANG NĂM 2021</t>
  </si>
  <si>
    <t>Số 127/QĐ-UBND.ĐTXD, ngày 15/06/2021 của UBND Huyện</t>
  </si>
  <si>
    <t>Số 128/QĐ-UBND.ĐTXD, ngày 15/06/2021 của UBND Huyện</t>
  </si>
  <si>
    <t>Số 130/QĐ-UBND.ĐTXD, ngày 15/06/2021 của UBND Huyện (ĐC)</t>
  </si>
  <si>
    <t>Số 131/QĐ-UBND.ĐTXD, ngày 15/06/2021 của UBND Huyện (ĐC)</t>
  </si>
  <si>
    <t>Đang lập HSMT</t>
  </si>
  <si>
    <t>(Kèm theo Báo cáo số        /BC-BQLDA&amp;PTQĐ ngày 15/06/2021)</t>
  </si>
  <si>
    <t>Phê duyệt kế hoạch lựa chọn nhà thầu ngày 17/6/2021 (Phòng TCKH)</t>
  </si>
  <si>
    <t>Số 135/QĐ-UBND.ĐTXD, ngày 18/06/2021 của UBND Huyện</t>
  </si>
  <si>
    <t>Phê duyệt BC KTKT (21/6/2021)</t>
  </si>
  <si>
    <t>Số 221/QĐ-UBND.ĐTXD, ngày 30/10/2020 của UBND Huyện</t>
  </si>
  <si>
    <t>Phê duyệt kế hoạch lựa chọn nhà thầu ngày 22/6/2021 (Phòng TCKH)</t>
  </si>
  <si>
    <t>Số 29/2021/HĐ-XD ngày 14/06/2021;  KC-HT: '21/06/2021-19/10/2021</t>
  </si>
  <si>
    <t>Công ty TNHH Tư Vấn Xây dựng Hoàng Phát Đồng Tháp</t>
  </si>
  <si>
    <t>Phê duyệt BC KTKT ngày 22/06/2021 (Phòng TCKH)</t>
  </si>
  <si>
    <t>Đang trình thẩm định BC KTKT ngày 23/06/2021 (Phòng KTHT)</t>
  </si>
  <si>
    <t>Thẩm định TK-DT ngày 23/06/2021 (Phòng KTHT)</t>
  </si>
  <si>
    <t>Tạm ngưng chưa thực hiện</t>
  </si>
  <si>
    <t>Đang xin ý kiến đầu tư tại Sở GTVT</t>
  </si>
  <si>
    <t>Thẩm định BC KTKT ngày 29/06/2021 (Phòng TCKH)</t>
  </si>
  <si>
    <t>Cv 1356/SKHĐT ngày 16/6/2021 cho phép kéo dài vốn NSTW (13 tỷ)</t>
  </si>
  <si>
    <t>Cv 1356/SKHĐT ngày 16/6/2021 cho phép kéo dài vốn NSTW (1,817073 tỷ)</t>
  </si>
  <si>
    <t>Chuyển tiếp 17 tỷ (QD 1945) vốn Dự phòng KH DTCTH 2016-2020</t>
  </si>
  <si>
    <t>Phê duyệt BC KTKT (29/6/2021)</t>
  </si>
  <si>
    <t>Công ty TNHH MTV Phúc Hải</t>
  </si>
  <si>
    <t>Số 30/2021/HĐ-XD ngày 23/06/2021;  KC-HT: '28/06/2021-26/09/2021</t>
  </si>
  <si>
    <t>Phê duyệt TK BVTC (29/06/2021)</t>
  </si>
  <si>
    <t>Chờ nghiệm thu PCCC</t>
  </si>
  <si>
    <t>Đang đắp lề đường</t>
  </si>
  <si>
    <t>Hoàn thành lớp đá 0x4 lớp 1 khoảng 2,7km/3,8km</t>
  </si>
  <si>
    <t>Đang xét thầu</t>
  </si>
  <si>
    <t>Đang đỗ BT gối cống + hố ga</t>
  </si>
  <si>
    <t>Đang tập kết vật tư + thiết bị thi công</t>
  </si>
  <si>
    <t>Đang lắp cống</t>
  </si>
  <si>
    <t>Đang thi công</t>
  </si>
  <si>
    <r>
      <t xml:space="preserve">04/03/2019-01/08/2019; </t>
    </r>
    <r>
      <rPr>
        <sz val="10"/>
        <color indexed="10"/>
        <rFont val="Times New Roman"/>
        <family val="1"/>
      </rPr>
      <t>PKHĐ: 30/07/2021</t>
    </r>
  </si>
  <si>
    <t>Mặt bằng vướng 1 đoạn khoảng 180m tại hầm cá, cá đang nuôi</t>
  </si>
  <si>
    <t>Thi công bê tông móng, đà kiềng</t>
  </si>
  <si>
    <t>Nghiện thu hoàn thành</t>
  </si>
  <si>
    <t>Bđk =0,50 m; Khẩu độ cống: d=100cm</t>
  </si>
  <si>
    <t>Lcống = 74,9m</t>
  </si>
  <si>
    <t>Δđk=+0,5m Δđc=+0,0m</t>
  </si>
  <si>
    <t>Bđ =3,00 m</t>
  </si>
  <si>
    <t>Δđk = -2,5m</t>
  </si>
  <si>
    <t>Bđk =0,5-3,0 m; Bbb =4,0 m</t>
  </si>
  <si>
    <t>Δđk = +2,0m; 'Δbb = +4,4-5,0m</t>
  </si>
  <si>
    <t>Lbb=2.226m</t>
  </si>
  <si>
    <t>L=4.075,3m</t>
  </si>
  <si>
    <t>B =5,5 m</t>
  </si>
  <si>
    <t>Δđst = -0,55m; 'Δmn = +0,45m</t>
  </si>
  <si>
    <t xml:space="preserve">S.tiêu: 4mx5m; </t>
  </si>
  <si>
    <t>Lst=5,0m; Lm.nước=137,45m</t>
  </si>
  <si>
    <t>L=79m</t>
  </si>
  <si>
    <t>cao trình đỉnh tường +2.50</t>
  </si>
  <si>
    <t>L = 23,23m</t>
  </si>
  <si>
    <t>Bđ=4,0m</t>
  </si>
  <si>
    <t>Δđ = -0,5m;  Δđỉnh sòng = +4,0m</t>
  </si>
  <si>
    <t>Lmáng nước = 319,44 m</t>
  </si>
  <si>
    <t>Kích thước máng, lọt lòng: (0,8 x1,2) m</t>
  </si>
  <si>
    <t>Δđáy = +0,7-1,0m;  Δđỉnh = +2,2m</t>
  </si>
  <si>
    <t>Bmặt=3,5m; Cống:d=100cm</t>
  </si>
  <si>
    <t>L=600m; Lc=15,06m</t>
  </si>
  <si>
    <t>Δđcống = +1,19m</t>
  </si>
  <si>
    <t>Bmặt=5,0m; Cống:d=100cm</t>
  </si>
  <si>
    <t>L=611m; Lc=9,0m</t>
  </si>
  <si>
    <t>Δbb=+3,6m; Δđcống=+0,15m</t>
  </si>
  <si>
    <t>Bmặt=3,5-5,0m</t>
  </si>
  <si>
    <t>QĐ 1984 30/12/2020 Tỉnh (vốn trung ương 20 tỷ)</t>
  </si>
  <si>
    <t>Tân Hồng, ngày 02 tháng 07 năm 2021</t>
  </si>
  <si>
    <t>Kết quả thực hiện đến ngày 02/07/2021</t>
  </si>
  <si>
    <t xml:space="preserve"> - Sở Tài chính (b/c);</t>
  </si>
  <si>
    <t xml:space="preserve"> - Sở KH&amp;ĐT (b/c);</t>
  </si>
  <si>
    <t>Đang trình Thẩm định phê duyệt điều chỉnh tổng mức đầu tư ngày 30/6/2021 (TCKH)</t>
  </si>
  <si>
    <t>Số 153/QĐ-UBND.ĐTXD, ngày 01/07/2021 của UBND Huyện</t>
  </si>
  <si>
    <t>Đang xin chủ trương điều chỉnh quy mô</t>
  </si>
  <si>
    <t>Trình Tỉnh thẩm định KHLCNT ngày 01/07/2021; Đền bù: đã ủy quyền thu hồi đất cho Huyện</t>
  </si>
  <si>
    <t>Phê duyệt KH LCNT ngày 02/07/2021 (Phòng TCKH)</t>
  </si>
  <si>
    <t>Đơn vị: ngàn đồng</t>
  </si>
  <si>
    <t>Nhóm dự án (A, B, C)</t>
  </si>
  <si>
    <t>Mã số dự án đầu tư</t>
  </si>
  <si>
    <t>Vốn kế hoạch</t>
  </si>
  <si>
    <t>Lũy kế vốn thanh toán từ đầu năm đến hết tháng trước liền kề</t>
  </si>
  <si>
    <t>Ước lũy kế vốn thanh toán từ đầu năm đến hết tháng báo cáo</t>
  </si>
  <si>
    <t>Vốn kế hoạch năm trước được phép kéo dài (nếu có)</t>
  </si>
  <si>
    <t>Vốn kế hoạch giao trong năm</t>
  </si>
  <si>
    <t>Thanh toán vốn kế hoạch kéo dài</t>
  </si>
  <si>
    <t>Thanh toán vốn kế hoạch năm</t>
  </si>
  <si>
    <t>Thanh toán khối lượng hoàn thành</t>
  </si>
  <si>
    <t>Vốn tạm ứng theo chế độ chưa thu hồi</t>
  </si>
  <si>
    <t>5=6+7</t>
  </si>
  <si>
    <t>8=9+12</t>
  </si>
  <si>
    <t>9=10+11</t>
  </si>
  <si>
    <t>12=13+14</t>
  </si>
  <si>
    <t>15=16+17</t>
  </si>
  <si>
    <t>Vốn trong nước</t>
  </si>
  <si>
    <t>Vốn nước ngoài, trong đó:</t>
  </si>
  <si>
    <t>- Theo cơ chế ghi thu ghi chi</t>
  </si>
  <si>
    <t>Vốn NSNN</t>
  </si>
  <si>
    <t>1.1</t>
  </si>
  <si>
    <t>C</t>
  </si>
  <si>
    <t>1.2</t>
  </si>
  <si>
    <t>Vốn cân đối ngân sách địa phương</t>
  </si>
  <si>
    <t>Vốn kế
hoạch được
cấp có
thẩm quyền
cho phép
kéo dài
sang năm
sau</t>
  </si>
  <si>
    <t>VỐN NGÂN SÁCH TRUNG ƯƠNG</t>
  </si>
  <si>
    <t>Đã thông báo mời thầu; ngày 21/07/2021 mở thầu</t>
  </si>
  <si>
    <t>Đang trình thẩm định TK cơ sở</t>
  </si>
  <si>
    <t>Đang lập HS trình thẩm định</t>
  </si>
  <si>
    <t>Đang lấy ý kiến PCCC bước TK cơ sở</t>
  </si>
  <si>
    <t>Đã có KQ thẩm định TKCS, đang trình thẩm định dự toán dự án đầu tư (Phòng KTHT)</t>
  </si>
  <si>
    <t>Đang đóng trần</t>
  </si>
  <si>
    <t>Đang thương thảo hợp đồng</t>
  </si>
  <si>
    <t>Đang triình thẩm định BCKTKT</t>
  </si>
  <si>
    <t>Đang điều chỉnh HS theo KQ thẩm tra</t>
  </si>
  <si>
    <r>
      <t>Giai đoạn lập, thẩm định và phê duyệt chủ trương đầu tư</t>
    </r>
    <r>
      <rPr>
        <b/>
        <vertAlign val="superscript"/>
        <sz val="10"/>
        <rFont val="Times New Roman"/>
        <family val="1"/>
      </rPr>
      <t>(1)</t>
    </r>
    <r>
      <rPr>
        <b/>
        <sz val="10"/>
        <rFont val="Times New Roman"/>
        <family val="1"/>
      </rPr>
      <t xml:space="preserve"> </t>
    </r>
  </si>
  <si>
    <r>
      <t xml:space="preserve">Giai đoạn lập, thẩm định, phê duyệt dự án đầu tư </t>
    </r>
    <r>
      <rPr>
        <b/>
        <vertAlign val="superscript"/>
        <sz val="10"/>
        <rFont val="Times New Roman"/>
        <family val="1"/>
      </rPr>
      <t>(2)</t>
    </r>
  </si>
  <si>
    <r>
      <t>Tiến độ giải phóng mặt bằng</t>
    </r>
    <r>
      <rPr>
        <b/>
        <sz val="10"/>
        <rFont val="Times New Roman"/>
        <family val="1"/>
      </rPr>
      <t xml:space="preserve"> </t>
    </r>
    <r>
      <rPr>
        <b/>
        <vertAlign val="superscript"/>
        <sz val="10"/>
        <rFont val="Times New Roman"/>
        <family val="1"/>
      </rPr>
      <t>(3)</t>
    </r>
  </si>
  <si>
    <r>
      <t>Giai đoạn lựa chọn nhà thầu</t>
    </r>
    <r>
      <rPr>
        <b/>
        <sz val="10"/>
        <rFont val="Times New Roman"/>
        <family val="1"/>
      </rPr>
      <t xml:space="preserve"> </t>
    </r>
    <r>
      <rPr>
        <b/>
        <vertAlign val="superscript"/>
        <sz val="10"/>
        <rFont val="Times New Roman"/>
        <family val="1"/>
      </rPr>
      <t>(4)</t>
    </r>
  </si>
  <si>
    <t>VỐN CTMTQG XÂY DỰNG NÔNG THÔN MỚI ( QĐ 314/QĐ-UBND.HC)</t>
  </si>
  <si>
    <t>Nâng cấp hệ thống cống( 07 cống bê tông ly tâm, đường kính 1000em)</t>
  </si>
  <si>
    <t>XD NTM</t>
  </si>
  <si>
    <t>Cống thoát nước CDC Chợ biên giới Thông Bình (hệ thống công tiêu BTCT dài 850m)</t>
  </si>
  <si>
    <t>Nâng cấp đường bờ bắc kênh TT-LG (Công thoát nước BTCT và hệ thống cấp nước sạch dài 1800 m)</t>
  </si>
  <si>
    <t>Đường nội đồng Côn Ét (Nâng cấp nền và rải đá cấp phối dài 1,4 km)</t>
  </si>
  <si>
    <t>Đường khu trung tâm xã (Nâng cấp nền, láng nhựa dài 1,2km và hệ thống cống)</t>
  </si>
  <si>
    <t>Đường nội bộ CDC Long Sơn Ngọc mở rộng phía tây (đoạn từ Nhà ông Sanh - nhà ông Bảy và đoạn nhà bà Thủy), nâng cấp láng nhựa dài 540m.</t>
  </si>
  <si>
    <t>Cống tiêu thoát nước CDC Biên Giới (4 cụm ven sông sở Hạ) Cống BTCT dài 2,5km.</t>
  </si>
  <si>
    <t>Láng nhựa đường nội đồng tổ hợp tác sô 3</t>
  </si>
  <si>
    <t>Hệ thống điện nhà xưởng</t>
  </si>
  <si>
    <t>Đường Bờ Tây Kênh Tân Hoà đoạn từ đê bao khóm 1 đến sông Sở Hạ</t>
  </si>
  <si>
    <t>Nhà văn hoá kết hợp trụ sở ấp Gò Bói</t>
  </si>
  <si>
    <t>Đường nội đồng THT số 04-6 ( đoạn từ lộ Gò Gai đến lộ Việt Thược đến kênh Tân Thành Lò Gạch</t>
  </si>
  <si>
    <t>Đường từ khu dân cư khóm 3 đoạn từ nhà ông Cương đến nhà ông Thường</t>
  </si>
  <si>
    <t>Đường từ cầu Bững 5 Hăng đến kênh Đuôi Tôm</t>
  </si>
  <si>
    <t>Đường nội đồng THT số 02 ấp Dinh Bà</t>
  </si>
  <si>
    <t>Đường khu dân cư trại 2 ấp Chiến Thắng</t>
  </si>
  <si>
    <t>Hệ thống thoát nước trại  4 đoạn từ nhà ông Tấn đến kênh Tân Hoà</t>
  </si>
  <si>
    <t>Hệ thống thoát nước trại 3 đoạn từ nhà ông Vũ đến kênh Tân Hoà</t>
  </si>
  <si>
    <t>Hệ thống thoát nước khu dân cư trại 1 ấp chiến Thắng</t>
  </si>
  <si>
    <t>Đường nội đồng THT số 12 ấp Gò Bói</t>
  </si>
  <si>
    <t>Đường nội đồng ấp Dinh Bà</t>
  </si>
  <si>
    <t>Đường nhà ông Hiền -Mùi</t>
  </si>
  <si>
    <t>Đường Bờ Tây kênh Tân Công Chí (đoạn từ kênh Tân Thành - Lò Gạch đến cầu sắt lộ 30 cũ)</t>
  </si>
  <si>
    <t>Đường liên ấp (đoạn từ nhà ông Sinh đến đuôi Bào Chứa)</t>
  </si>
  <si>
    <t>Đường Gò Xoài</t>
  </si>
  <si>
    <t>Đường nội bộ CDC trung tâm xã</t>
  </si>
  <si>
    <t>Cống thoát nước KDC Gò Da (đoạn sân bóng đá)</t>
  </si>
  <si>
    <t>Đường nội bộ khu dân cư Gò Da ( tuyến 4,5)</t>
  </si>
  <si>
    <t xml:space="preserve">TÌNH HÌNH THỰC HIỆN VÀ GIẢI NGÂN KẾ HOẠCH VỐN TRUNG ƯƠNG HỖ TRỢ NĂM 2021                                     </t>
  </si>
  <si>
    <t xml:space="preserve">(Biểu số 1: Kèm theo Báo cáo số:          /BC-UBND.HC  ngày      tháng 6 năm 2021 của UBND Huyện Tân Hồng) </t>
  </si>
  <si>
    <t>HT</t>
  </si>
  <si>
    <t>đấu thầu</t>
  </si>
  <si>
    <t>Đơn vị tính: triệu đồng</t>
  </si>
  <si>
    <t>NGÂN SÁCH TRUNG ƯƠNG HỖ TRỢ VÀ CTMTQG XDNTM</t>
  </si>
  <si>
    <t>số :  08/2020/HĐ-TCXD,  ngày 11 tháng 11  năm 2020</t>
  </si>
  <si>
    <t>Đang  hoàn thiện bàn giao công trình đưa vào sử dụng</t>
  </si>
  <si>
    <t>Đang thi công, dự kiến trong tháng 5. 2021 xong</t>
  </si>
  <si>
    <t>số :  06/2020/HĐ-TCXD,  ngày 19 tháng 10  năm 2019</t>
  </si>
  <si>
    <t>số : 07/2020/HĐ-TCXD,  ngày 11 tháng 11  năm 2020</t>
  </si>
  <si>
    <t xml:space="preserve"> số :  02/2020/HĐ-TCXD,  ngày 30 tháng 6  năm 2020 - 09/11/2020</t>
  </si>
  <si>
    <t>số :  01/2020/HĐ-TCXD,  ngày 14 tháng 5  năm 2020 -09/09/2020</t>
  </si>
  <si>
    <t>số :  04/2020/HĐ-TCXD,  ngày 30 tháng 7  năm 2020</t>
  </si>
  <si>
    <t>số :  05/2020/HĐ-TCXD,  ngày 11 tháng 8  năm 2020</t>
  </si>
  <si>
    <t xml:space="preserve"> số :  03/2020/HĐ-TCXD,  ngày 02 tháng 7  năm 2020</t>
  </si>
  <si>
    <t>Số 04 ngày 29/05/2020-04/01/2020</t>
  </si>
  <si>
    <t>Số 06, ngày 08/06/2020-12/12/2020</t>
  </si>
  <si>
    <t>Đang đỗ đá mặt đường</t>
  </si>
  <si>
    <t>Đang thi công, dự kiến trong quý 2 xong</t>
  </si>
  <si>
    <t>Do dân đang thu hoạch lúa</t>
  </si>
  <si>
    <t xml:space="preserve"> Số 04, ngày 01/06/2020-05/12/2020</t>
  </si>
  <si>
    <t>Số 05 ngày 01/06/2020-10/01/2021</t>
  </si>
  <si>
    <t>Số 06 ngày 04/05/2020-07/11/2020</t>
  </si>
  <si>
    <t>Số 02 ngày 04/05/2020-07/11/2021</t>
  </si>
  <si>
    <t>Số 13/2020
(24/08/2020)</t>
  </si>
  <si>
    <t>Số : 01/2020( 10/04/2020- 24/09/2020 )</t>
  </si>
  <si>
    <t>Số : 12/2020 ( 24/08/2020 )</t>
  </si>
  <si>
    <t>Số :09/2020 ( 07/05/2020
 -10/09/2020 )</t>
  </si>
  <si>
    <t>Số : 14/2020
 ( 26/08/2020 )</t>
  </si>
  <si>
    <t>Số : 02/2020 (14/4/2020 
-06/11/2020)</t>
  </si>
  <si>
    <t>Số : 03/2020 (24/4/2020-01/10/2020)</t>
  </si>
  <si>
    <t>Số : 04/2020 ( 27/4/2020-
/08/10/2020</t>
  </si>
  <si>
    <t>Số : 07/2020
 ( 04/05/2020 20/10/2020</t>
  </si>
  <si>
    <t>Số : 08/2020 9 07/05/2020- 10/11/2020 )</t>
  </si>
  <si>
    <t>Số : 05/2020 9 18/05/2020 )</t>
  </si>
  <si>
    <t>Số : 09 /2020 ( 09/07/2020- 11/11/2020 )</t>
  </si>
  <si>
    <t>Số :10/2020 ( 21/05/2020 )</t>
  </si>
  <si>
    <t xml:space="preserve">số :  11/2020/HĐ-TCCCLĐTB,  ngày 10 tháng 12 năm 2020 </t>
  </si>
  <si>
    <t>VỐN HUYỆN QUẢN LÝ VÀ PHÂN BỐ</t>
  </si>
  <si>
    <t>Dự án chuyển tiếp</t>
  </si>
  <si>
    <t>'Phát triển đô thị trên địa bàn tỉnh (hỗ trợ mục tiêu cho cấp huyện)</t>
  </si>
  <si>
    <t>Nâng cấp hệ thống giao thông thoát nước chống ngập úng thị trấn Sa Rài (Giai đoạn 2)</t>
  </si>
  <si>
    <t>- Đầu tư hoàn chỉnh hệ thống hạ tầng kỹ thuật đối với các cụm dân cư vượt lũ giai đoạn 01 trên địa bàn tỉnh (hỗ trợ có mục tiêu cho cấp cho cấp huyện)</t>
  </si>
  <si>
    <t>Dự án khởi công mới</t>
  </si>
  <si>
    <t>- CDC Thống Nhất</t>
  </si>
  <si>
    <t>- CDC Bắc Trang</t>
  </si>
  <si>
    <t xml:space="preserve">- Trường MG Tân Phước </t>
  </si>
  <si>
    <t xml:space="preserve">- Trường MN Thị trấn Sa Rài </t>
  </si>
  <si>
    <t xml:space="preserve">- Trường MG Tân Công Chí </t>
  </si>
  <si>
    <t>- Trường TH Giồng Găng</t>
  </si>
  <si>
    <t>- Trường TH Trần Phú</t>
  </si>
  <si>
    <t>- Trường TH Nguyễn Huệ</t>
  </si>
  <si>
    <t>- Trường THCS Nguyễn Quang Diêu</t>
  </si>
  <si>
    <t>- Trường THCS Tân Phước</t>
  </si>
  <si>
    <t>- Trường THCS Tân Hộ Cơ</t>
  </si>
  <si>
    <t>- Trường MG Tân Thành A (điểm chính)</t>
  </si>
  <si>
    <t>- Trường TH Tân Công Chí 1</t>
  </si>
  <si>
    <t>- Trường TH Bình Phú 2</t>
  </si>
  <si>
    <t>- Trường TH Tân Thành B2</t>
  </si>
  <si>
    <t>- Trường THCS Nguyễn Văn Trỗi</t>
  </si>
  <si>
    <t>- Trường MN Tân Thành A (điểm phụ Chiến Thắng)</t>
  </si>
  <si>
    <t>- Trường MN 1/6</t>
  </si>
  <si>
    <t xml:space="preserve">- Đường Tân Thành (Long Sơn Ngọc - Biên Giới) </t>
  </si>
  <si>
    <t>- ĐH Tân Thành Đông đoạn từ cầu Chòi Mòi đến cầu Bàu Lức</t>
  </si>
  <si>
    <t>- Đường Thống Nhất (đoạn từ kênh Hồng Ngự Vĩnh Hưng đến Quốc lộ 30)</t>
  </si>
  <si>
    <t>- ĐH Bắc Trang</t>
  </si>
  <si>
    <t>Đường Nguyễn Văn Tiệp (đoạn từ Đường Lê Lợi đến đê bao phía Đông)</t>
  </si>
  <si>
    <t>Đường nội bộ cụm dân cư Chợ Biên Giới Thông Bình</t>
  </si>
  <si>
    <t>Kinh phí đo đạc, Quy hoạch sử dụng đất, cấm mốc…</t>
  </si>
  <si>
    <t>1.2.1</t>
  </si>
  <si>
    <t>1.2.1.1</t>
  </si>
  <si>
    <t>1.2.1.2</t>
  </si>
  <si>
    <t>1.2.1.3</t>
  </si>
  <si>
    <t>1.2.1.4</t>
  </si>
  <si>
    <t>1.2.1.5</t>
  </si>
  <si>
    <t>1.2.1.6</t>
  </si>
  <si>
    <t>1.2.1.7</t>
  </si>
  <si>
    <t>1.2.1.8</t>
  </si>
  <si>
    <t>1.2.1.9</t>
  </si>
  <si>
    <t>1.2.1.10</t>
  </si>
  <si>
    <t>1.2.1.11</t>
  </si>
  <si>
    <t>1.2.1.12</t>
  </si>
  <si>
    <t>1.2.1.13</t>
  </si>
  <si>
    <t>1.2.1.14</t>
  </si>
  <si>
    <t>1.2.2</t>
  </si>
  <si>
    <t>1.2.2.1</t>
  </si>
  <si>
    <t>1.1.1</t>
  </si>
  <si>
    <t>1.1.2</t>
  </si>
  <si>
    <t>1.1.3</t>
  </si>
  <si>
    <t>1.1.4</t>
  </si>
  <si>
    <t>1.1.5</t>
  </si>
  <si>
    <t>1.3</t>
  </si>
  <si>
    <t>1.4</t>
  </si>
  <si>
    <t>1.5</t>
  </si>
  <si>
    <t>Nâng cấp hệ thống cấp nước sạch trên địa bàn Huyện</t>
  </si>
  <si>
    <t>Vốn Chỉnh trang đô thị</t>
  </si>
  <si>
    <t>Sự nghiệp giao thông</t>
  </si>
  <si>
    <t>Sự nghiệp môi trường</t>
  </si>
  <si>
    <t>PHÒNG TÀI CHÍNH - KẾ HOẠCH</t>
  </si>
  <si>
    <t>- UBND Huyện (b/c)</t>
  </si>
  <si>
    <t>Đvt: ngàn đồng</t>
  </si>
  <si>
    <t>Biểu 02</t>
  </si>
  <si>
    <t>Đường Ngô Quyền (đoạn từ Trần Phú đến mương tiêu đê bao phía Nam)</t>
  </si>
  <si>
    <t>Đường Phan Bội Châu (đoạn từ đường 502 đến đê bao phía Nam)</t>
  </si>
  <si>
    <t>Đường Võ Thị Sáu (đoạn từ đường Nguyễn Văn Tiệp đến hàng rào Công an Huyện)</t>
  </si>
  <si>
    <t>Vốn tỉnh quản lý và phân bổ (BSMT)</t>
  </si>
  <si>
    <t>Vốn sự nghiệp kinh tế cấp tỉnh chưa phân bổ năm 2020</t>
  </si>
  <si>
    <t>Vốn bù miễn thu thủy lợi phí năm 2022</t>
  </si>
  <si>
    <t>Vốn hỗ trợ sản xuất lúa nước năm 2022</t>
  </si>
  <si>
    <t>Vốn sự nghiệp 2022</t>
  </si>
  <si>
    <t>Sự nghiệp NLTL</t>
  </si>
  <si>
    <t>Vốn sự nghiệp giáo dục năm 2022</t>
  </si>
  <si>
    <t>Nâng cấp đường GTNT huyện Tân Hồng</t>
  </si>
  <si>
    <t>Vốn kết dư sự nghiệp kinh tế cấp tỉnh hỗ trợ phát triển cây xanh đô thị năm 2021 chuyển sang năm 2022</t>
  </si>
  <si>
    <t>Nguồn kết dư sự nghiệp kinh tế khác cấp tỉnh hỗ trợ đầu tư hoàn chỉnh hạ tầng kỹ thuật 02 CDC vượt lũ gia đoạn 01 năm 2021 chuyển sang năm 2022</t>
  </si>
  <si>
    <t xml:space="preserve">BÁO CÁO TỔNG HỢP TÌNH HÌNH THỰC HIỆN KẾ HOẠCH VỐN NĂM 2022 </t>
  </si>
  <si>
    <t>Kế hoạch vốn</t>
  </si>
  <si>
    <t>Giải ngân</t>
  </si>
  <si>
    <t>Tỷ lệ %</t>
  </si>
  <si>
    <t>Nguồn vốn đầu tư công</t>
  </si>
  <si>
    <t>Ban Quản lý dự án &amp; PTQĐ</t>
  </si>
  <si>
    <t>Phòng Tài nguyên và Môi trường</t>
  </si>
  <si>
    <t>UBND thị trấn Sa Rài</t>
  </si>
  <si>
    <t>UBND xã Thông Bình</t>
  </si>
  <si>
    <t>UBND xã Tân Thành A</t>
  </si>
  <si>
    <t>Đvt: triệu đồng</t>
  </si>
  <si>
    <t>UBND xã Tân Hộ Cơ</t>
  </si>
  <si>
    <t>Vốn Tỉnh phân bổ và quản lý</t>
  </si>
  <si>
    <t>Vốn Huyện phân bổ và quản lý</t>
  </si>
  <si>
    <t>Vốn sự nghiệp tính chất đầu tư</t>
  </si>
  <si>
    <t>Phòng Nông nghiệp &amp;PTNT</t>
  </si>
  <si>
    <t>Kết dư vốn bù miễn thu thủy lợi phí năm 2021
 chuyển sang năm 2022</t>
  </si>
  <si>
    <t>Kết dư vốn hỗ trợ sản xuất lúa nước năm 2021 chuyển sang năm 2022</t>
  </si>
  <si>
    <t>V</t>
  </si>
  <si>
    <t>VI</t>
  </si>
  <si>
    <t>Phòng Kinh tế &amp; Hạ tầng</t>
  </si>
  <si>
    <t>Ban Quản lý Công trình công cộng</t>
  </si>
  <si>
    <t>Phòng Giáo dục &amp; Đào tạo</t>
  </si>
  <si>
    <t>UBND xã Bình Phú</t>
  </si>
  <si>
    <t>Vốn thu thuỷ lợi phí từ điều chỉnh dự toán năm 2022  (NST BSMT)</t>
  </si>
  <si>
    <t>VII</t>
  </si>
  <si>
    <t>VIII</t>
  </si>
  <si>
    <t>IX</t>
  </si>
  <si>
    <t>X</t>
  </si>
  <si>
    <t>XI</t>
  </si>
  <si>
    <t>XII</t>
  </si>
  <si>
    <t>XIII</t>
  </si>
  <si>
    <t>Sự nghiệp nông, lâm, thủy lợi</t>
  </si>
  <si>
    <t>Vốn bù miễn thu thủy lợi
 phí năm 2022</t>
  </si>
  <si>
    <t>Kết dư vốn bù miễn thu thủy lợi phí năm 2021 chuyển sang năm 2022</t>
  </si>
  <si>
    <t>(Kèm theo Công văn số:          /TCKH-ĐT ngày 08/9/2022 của Phòng TC-KH)</t>
  </si>
  <si>
    <t>Đầu tư cơ sở vật chất các ngành huyện và  UBND các xã ,thị trấn (trụ sở khóm, ấp)</t>
  </si>
  <si>
    <t>Vốn sự nghiệp kinh tế khác</t>
  </si>
  <si>
    <t>Sơn P và lát gạch nền; lắp đặt cửa</t>
  </si>
  <si>
    <t>BÁO CÁO KẾT QUẢ THANH TOÁN VỐN SỰ NGHIỆP KẾ HOẠCH NĂM 2023 - KỲ BÁO CÁO THÁNG 01 NĂM 2023</t>
  </si>
  <si>
    <t>Tân Hồng, ngày 09 tháng 02 năm 2023</t>
  </si>
  <si>
    <t>(Kèm theo Báo cáo số …..  /TCKH-ĐT ngày 09 tháng 02 năm 2023 của Phòng Tài chính - Kế hoạch)</t>
  </si>
  <si>
    <t>- Nâng cấp, mở rộng đường Lê Lợi (đoạn từ đường Hùng Vương đến đường Trần Văn Thế)</t>
  </si>
  <si>
    <t>Hoạt động của các cơ quan quản lý nhà nước, đơn vị sự nghiệp công lập, tổ chức chính trị và các tổ chức chính trị-xã hội</t>
  </si>
  <si>
    <t>- Trụ sở UBND thị trấn Sa Rài</t>
  </si>
  <si>
    <t>- Trụ sở UBND xã Thông Bình (hạng mục: nâng cấp, mở rộng)</t>
  </si>
  <si>
    <t xml:space="preserve">- Chương trình đảm bảo cơ sở vật chất cho chương trình giáo dục mầm non và giáo dục phổ thông giai đoạn 2021-2025
</t>
  </si>
  <si>
    <t>Nông nghiệp, lâm nghiệp, diêm nghiệp, thủy lợi và thủy sản</t>
  </si>
  <si>
    <t>- Bố trí ổn định dân cư Dinh Bà, xã Tân Hộ Cơ, huyện Tân Hồng</t>
  </si>
  <si>
    <t>Hỗ trợ mục tiêu cho cấp huyện đầu tư hạ tầng giao thông nông thôn góp phần hoàn thành tiêu chí nông thôn mới</t>
  </si>
  <si>
    <t>Công trình công cộng tại các đô thị, hạ tầng kỹ thuật khu đô thị mới</t>
  </si>
  <si>
    <t>Hỗ trợ cấp huyện đầu tư Khu liên hợp TDTT 6 huyện và Tổ hợp thể thao 27 xã (hỗ trợ có mục tiêu)</t>
  </si>
  <si>
    <t>- Khu liên hợp TDTT huyện Tân Hồng (DK NS tỉnh hỗ trợ 5,5 tỷ đồng)</t>
  </si>
  <si>
    <t>- Tổ hợp thể thao xã Tân Công Chí (DK NS tỉnh hỗ trợ 2,0 tỷ đồng NC sân bóng đá 11 người)</t>
  </si>
  <si>
    <t>- Tổ hợp thể thao xã Tân Thành B (DK NS tỉnh hỗ trợ 2,0 tỷ đồng NC sân bóng đá 11 người)</t>
  </si>
  <si>
    <t>Các hoạt động kinh tế/lĩnh vực giao thông</t>
  </si>
  <si>
    <t>Nâng cấp cải tạo nhà lồng chợ bách hoá Huyện</t>
  </si>
  <si>
    <t xml:space="preserve"> Hoạt động của các cơ quan QLNN, ĐVSNCL, TCCT và các TCCT-XH/ QLNN(*)</t>
  </si>
  <si>
    <t>Đề án phát triển Trung tâm DVNN</t>
  </si>
  <si>
    <t>Đối ứng bồi thường giải phóng mặt bằng các công trình</t>
  </si>
  <si>
    <t>Các hoạt động kinh tế/quy hoạch</t>
  </si>
  <si>
    <t>Chi trả về Tỉnh từ nguồn thu tiền nền nhà trả chậm theo Quyết định 105 của Chính phủ</t>
  </si>
  <si>
    <t>7932679</t>
  </si>
  <si>
    <t>7932682</t>
  </si>
  <si>
    <t>1.2.1.15</t>
  </si>
  <si>
    <t>1.2.1.16</t>
  </si>
  <si>
    <t>1.2.3</t>
  </si>
  <si>
    <t>1.2.3.1</t>
  </si>
  <si>
    <t>1.2.3.2</t>
  </si>
  <si>
    <t>1.2.3.3</t>
  </si>
  <si>
    <t>1.2.3.4</t>
  </si>
  <si>
    <t>1.2.4</t>
  </si>
  <si>
    <t>1.2.4.1</t>
  </si>
  <si>
    <t>Nâng cấp hệ thống giao thông thị trấn Sa Rài</t>
  </si>
  <si>
    <t>Đường hẻm (đoạn từ đường Nguyễn Văn Tiệp đến Lê Lợi và đường Nguyễn Trãi)</t>
  </si>
  <si>
    <t>Đường đan Khu đất Nhà văn hóa (đoạn từ đường Trần Hưng Đạo đến đường 3/2)</t>
  </si>
  <si>
    <t>Hệ thống thoát nước thải các đường hẻm khu vực chợ Tân Hồng</t>
  </si>
  <si>
    <t>Nạo vét cống, hố ga khu vực thị trấn Sa Rài</t>
  </si>
  <si>
    <t>Đường ĐT 842 cũ ( đoạn từ bến đò cũ đến ĐT 843)</t>
  </si>
  <si>
    <t>Nâng cấp, sửa chữa đường tuyến dân cư Công Binh</t>
  </si>
  <si>
    <t>Đường Nguyễn Văn Cơ ( đoạn từ đường Nguyễn Huệ đến Lê Lợi)</t>
  </si>
  <si>
    <t>Xây dựng cảnh quan môi trường, vườn ươm, phát quang bụi rậm, thu gom rác thải dòng sông ( dòng sông không rác).</t>
  </si>
  <si>
    <t>Hỗ trợ xây dựng hố chứa rác, thùng chứa rác các điểm dân cư, khu công cộng</t>
  </si>
  <si>
    <t xml:space="preserve">Vốn huyện quản lý và phân bổ </t>
  </si>
  <si>
    <t>1.3.1</t>
  </si>
  <si>
    <t>1.3.2</t>
  </si>
  <si>
    <t>1.4.1</t>
  </si>
  <si>
    <t>1.5.1</t>
  </si>
  <si>
    <t>Danh mục chi tiết</t>
  </si>
  <si>
    <t>BT rãnh thoát nước</t>
  </si>
  <si>
    <t>Đào thi công cấp phối đá dăm mặt 3,5m</t>
  </si>
  <si>
    <t>BÁO CÁO KẾT QUẢ THANH TOÁN VỐN ĐẦU TƯ CÔNG KẾ HOẠCH NĂM 2023 - KỲ BÁO CÁO QUÝ 1 NĂM 2023</t>
  </si>
  <si>
    <t>Trả nợ</t>
  </si>
  <si>
    <t>Đỗ đá 0x4 đường Phạm Ngũ Lão, Nguyễn Trãi, lót vĩa hè đường Thiên Hộ Dương, đào khuôn đường Trần Hưng Đạo</t>
  </si>
  <si>
    <t>Đã xong thủ tục đầu tư, đang chờ bồi thường giải phóng mặt bằng</t>
  </si>
  <si>
    <t>Sơn P, lắp đặt cửa và lát gạch tầng lầu</t>
  </si>
  <si>
    <t>Đang đóng ván khuôn dầm sàn lầu</t>
  </si>
  <si>
    <t>Đang đổ bê tông cột tầng lầu dãy 12 phong học</t>
  </si>
  <si>
    <t>Đang lắp dựng xà gồ, lợp mái và sơ P</t>
  </si>
  <si>
    <t>Đang hoàn thiện sơn P và lát gạch</t>
  </si>
  <si>
    <t>Bàn giao khối phòng học, chờ mặt bằng nhà xe</t>
  </si>
  <si>
    <t>Lắp dựng cửa, sân đan</t>
  </si>
  <si>
    <t>Lắp dựng ván khuôn và cốt thép cột tầng lầu</t>
  </si>
  <si>
    <t>Đang thi kèo, cột lầu, xây tô và lắp dựng cửa</t>
  </si>
  <si>
    <t>Đang thi công tường chắn</t>
  </si>
  <si>
    <t>Đang trát tường, tầng mái và vì kèo</t>
  </si>
  <si>
    <t>Đang xây dựng láng trại</t>
  </si>
  <si>
    <t>Đang thi công cống tròn và cống hộp</t>
  </si>
  <si>
    <t>Đắp lề đường, thi công cống</t>
  </si>
  <si>
    <t xml:space="preserve">Đang thi công đá 4x6 (đoạn từ Sa Trung đến Bào Lức) </t>
  </si>
  <si>
    <t>Vướng mặt bằng</t>
  </si>
  <si>
    <t>Ra đá lớp 2 và thi công bó vỉa</t>
  </si>
  <si>
    <t>Đang thẩm định điều chỉnh BCKTKT</t>
  </si>
  <si>
    <t>Đang đánh giá hồ sơ dự thầu</t>
  </si>
  <si>
    <t>Đang điều chỉnh hồ sơ (điều chỉnh Kiot)</t>
  </si>
  <si>
    <t>Đang thẩm định điều chỉnh dự án</t>
  </si>
  <si>
    <t>Đang trình phê duyệt KHLCNT;</t>
  </si>
  <si>
    <t>Đang lu bảo dưỡng nhựa</t>
  </si>
  <si>
    <t>Đang đào đất vỉa hè</t>
  </si>
  <si>
    <t>(Kèm theo Báo cáo số … …. /BC-UBND ngày        tháng 3 năm 2023 củaUBND Huyện)</t>
  </si>
</sst>
</file>

<file path=xl/styles.xml><?xml version="1.0" encoding="utf-8"?>
<styleSheet xmlns="http://schemas.openxmlformats.org/spreadsheetml/2006/main" xmlns:mc="http://schemas.openxmlformats.org/markup-compatibility/2006" xmlns:x14ac="http://schemas.microsoft.com/office/spreadsheetml/2009/9/ac" mc:Ignorable="x14ac">
  <numFmts count="65">
    <numFmt numFmtId="41" formatCode="_(* #,##0_);_(* \(#,##0\);_(* &quot;-&quot;_);_(@_)"/>
    <numFmt numFmtId="43" formatCode="_(* #,##0.00_);_(* \(#,##0.00\);_(* &quot;-&quot;??_);_(@_)"/>
    <numFmt numFmtId="164" formatCode="#,##0\ &quot;₫&quot;;[Red]\-#,##0\ &quot;₫&quot;"/>
    <numFmt numFmtId="165" formatCode="_-* #,##0\ &quot;₫&quot;_-;\-* #,##0\ &quot;₫&quot;_-;_-* &quot;-&quot;\ &quot;₫&quot;_-;_-@_-"/>
    <numFmt numFmtId="166" formatCode="_-* #,##0.00\ _₫_-;\-* #,##0.00\ _₫_-;_-* &quot;-&quot;??\ _₫_-;_-@_-"/>
    <numFmt numFmtId="167" formatCode="_-&quot;₫&quot;* #,##0_-;\-&quot;₫&quot;* #,##0_-;_-&quot;₫&quot;* &quot;-&quot;_-;_-@_-"/>
    <numFmt numFmtId="168" formatCode="#,##0.0"/>
    <numFmt numFmtId="169" formatCode="_(* #,##0.0_);_(* \(#,##0.0\);_(* &quot;-&quot;??_);_(@_)"/>
    <numFmt numFmtId="170" formatCode="_(* #,##0_);_(* \(#,##0\);_(* &quot;-&quot;??_);_(@_)"/>
    <numFmt numFmtId="171" formatCode="#,##0.000"/>
    <numFmt numFmtId="172" formatCode="_(* #,##0_);_(* \(#,##0\);_(* &quot;-&quot;&quot;?&quot;&quot;?&quot;_);_(@_)"/>
    <numFmt numFmtId="173" formatCode="\$#,##0\ ;\(\$#,##0\)"/>
    <numFmt numFmtId="174" formatCode="_(* #,##0.0000000_);_(* \(#,##0.0000000\);_(* &quot;-&quot;??_);_(@_)"/>
    <numFmt numFmtId="175" formatCode="0.000%"/>
    <numFmt numFmtId="176" formatCode="_-* #,##0.00_-;\-* #,##0.00_-;_-* &quot;-&quot;??_-;_-@_-"/>
    <numFmt numFmtId="177" formatCode="_-* #,##0_-;\-* #,##0_-;_-* &quot;-&quot;_-;_-@_-"/>
    <numFmt numFmtId="178" formatCode="_-&quot;₫&quot;* #,##0.00_-;\-&quot;₫&quot;* #,##0.00_-;_-&quot;₫&quot;* &quot;-&quot;??_-;_-@_-"/>
    <numFmt numFmtId="179" formatCode="00.000"/>
    <numFmt numFmtId="180" formatCode="&quot;￥&quot;#,##0;&quot;￥&quot;\-#,##0"/>
    <numFmt numFmtId="181" formatCode="#,##0\ &quot;DM&quot;;\-#,##0\ &quot;DM&quot;"/>
    <numFmt numFmtId="182" formatCode="0.000"/>
    <numFmt numFmtId="183" formatCode="0.0"/>
    <numFmt numFmtId="184" formatCode="#,##0.00;[Red]#,##0.00"/>
    <numFmt numFmtId="185" formatCode="_ * #,##0_ ;_ * \-#,##0_ ;_ * &quot;-&quot;_ ;_ @_ "/>
    <numFmt numFmtId="186" formatCode="_ * #,##0.00_ ;_ * \-#,##0.00_ ;_ * &quot;-&quot;??_ ;_ @_ "/>
    <numFmt numFmtId="187" formatCode="0\ \ \ \ "/>
    <numFmt numFmtId="188" formatCode="0.00_)"/>
    <numFmt numFmtId="189" formatCode="#,##0\ &quot;FB&quot;;\-#,##0\ &quot;FB&quot;"/>
    <numFmt numFmtId="190" formatCode="_(* #,##0.00000000_);_(* \(#,##0.00000000\);_(* &quot;-&quot;??_);_(@_)"/>
    <numFmt numFmtId="191" formatCode="##,###,###,###,000"/>
    <numFmt numFmtId="192" formatCode="##,###,###,##0.00"/>
    <numFmt numFmtId="193" formatCode="_-* #,##0_ñ_-;\-* #,##0_ñ_-;_-* &quot;-&quot;_ñ_-;_-@_-"/>
    <numFmt numFmtId="194" formatCode="_-* #,##0.00_ñ_-;\-* #,##0.00_ñ_-;_-* &quot;-&quot;??_ñ_-;_-@_-"/>
    <numFmt numFmtId="195" formatCode="_-* #,##0\ &quot;F&quot;_-;\-* #,##0\ &quot;F&quot;_-;_-* &quot;-&quot;\ &quot;F&quot;_-;_-@_-"/>
    <numFmt numFmtId="196" formatCode="_-* #,##0\ _F_-;\-* #,##0\ _F_-;_-* &quot;-&quot;\ _F_-;_-@_-"/>
    <numFmt numFmtId="197" formatCode="_-* #,##0.00\ &quot;F&quot;_-;\-* #,##0.00\ &quot;F&quot;_-;_-* &quot;-&quot;??\ &quot;F&quot;_-;_-@_-"/>
    <numFmt numFmtId="198" formatCode="_-* #,##0.0_-;\-* #,##0.0_-;_-* &quot;-&quot;??_-;_-@_-"/>
    <numFmt numFmtId="199" formatCode="_-* #,##0_-;\-* #,##0_-;_-* &quot;-&quot;??_-;_-@_-"/>
    <numFmt numFmtId="200" formatCode="#,##0\ &quot;FB&quot;;[Red]\-#,##0\ &quot;FB&quot;"/>
    <numFmt numFmtId="201" formatCode="#,##0.00\ &quot;FB&quot;;\-#,##0.00\ &quot;FB&quot;"/>
    <numFmt numFmtId="202" formatCode="#,##0.00\ &quot;FB&quot;;[Red]\-#,##0.00\ &quot;FB&quot;"/>
    <numFmt numFmtId="203" formatCode="_ * #,##0_ ;_ * \-#,##0_ ;_ * &quot;-&quot;??_ ;_ @_ "/>
    <numFmt numFmtId="204" formatCode="_(* #,##0.000_);_(* \(#,##0.000\);_(* &quot;-&quot;&quot;?&quot;&quot;?&quot;_);_(@_)"/>
    <numFmt numFmtId="205" formatCode="_(* #,##0.000_);_(* \(#,##0.000\);_(* &quot;-&quot;??_);_(@_)"/>
    <numFmt numFmtId="206" formatCode="0.0%"/>
    <numFmt numFmtId="207" formatCode="_(* #,##0.00_);_(* \(#,##0.00\);_(* \-??_);_(@_)"/>
    <numFmt numFmtId="208" formatCode="_-\$* #,##0_-;&quot;-$&quot;* #,##0_-;_-\$* \-_-;_-@_-"/>
    <numFmt numFmtId="209" formatCode="_(* #,##0_);_(* \(#,##0\);_(* \-??_);_(@_)"/>
    <numFmt numFmtId="210" formatCode="_(* #.##0_);_(* \(#.##0\);_(* &quot;-&quot;_);_(@_)"/>
    <numFmt numFmtId="211" formatCode="_-* #,##0\ _₫_-;\-* #,##0\ _₫_-;_-* &quot;-&quot;??\ _₫_-;_-@_-"/>
    <numFmt numFmtId="212" formatCode="_-* #,##0.0\ _₫_-;\-* #,##0.0\ _₫_-;_-* &quot;-&quot;??\ _₫_-;_-@_-"/>
    <numFmt numFmtId="213" formatCode="_(* #,##0.0000_);_(* \(#,##0.0000\);_(* &quot;-&quot;??_);_(@_)"/>
    <numFmt numFmtId="214" formatCode="_-* #,##0.000\ _₫_-;\-* #,##0.000\ _₫_-;_-* &quot;-&quot;??\ _₫_-;_-@_-"/>
    <numFmt numFmtId="215" formatCode="_(* #,##0.000_);_(* \(#,##0.000\);_(* &quot;-&quot;???_);_(@_)"/>
    <numFmt numFmtId="216" formatCode="&quot;True&quot;;&quot;True&quot;;&quot;False&quot;"/>
    <numFmt numFmtId="217" formatCode="&quot;\&quot;#,##0;[Red]&quot;\&quot;&quot;\&quot;\-#,##0"/>
    <numFmt numFmtId="218" formatCode="&quot;\&quot;#,##0.00;[Red]&quot;\&quot;&quot;\&quot;&quot;\&quot;&quot;\&quot;&quot;\&quot;&quot;\&quot;\-#,##0.00"/>
    <numFmt numFmtId="219" formatCode="#,##0;\(#,##0\)"/>
    <numFmt numFmtId="220" formatCode="\t0.00%"/>
    <numFmt numFmtId="221" formatCode="\t#\ ??/??"/>
    <numFmt numFmtId="222" formatCode="m/d"/>
    <numFmt numFmtId="223" formatCode="&quot;ß&quot;#,##0;\-&quot;&quot;\ß&quot;&quot;#,##0"/>
    <numFmt numFmtId="224" formatCode="0,000,000"/>
    <numFmt numFmtId="225" formatCode="_-&quot;$&quot;* #,##0_-;\-&quot;$&quot;* #,##0_-;_-&quot;$&quot;* &quot;-&quot;_-;_-@_-"/>
    <numFmt numFmtId="226" formatCode="_-&quot;$&quot;* #,##0.00_-;\-&quot;$&quot;* #,##0.00_-;_-&quot;$&quot;* &quot;-&quot;??_-;_-@_-"/>
  </numFmts>
  <fonts count="128">
    <font>
      <sz val="10"/>
      <name val="Arial"/>
    </font>
    <font>
      <sz val="10"/>
      <name val="Arial"/>
    </font>
    <font>
      <sz val="8"/>
      <name val="Arial"/>
      <family val="2"/>
    </font>
    <font>
      <sz val="10"/>
      <color indexed="8"/>
      <name val="Times New Roman"/>
      <family val="1"/>
    </font>
    <font>
      <sz val="10"/>
      <name val="Times New Roman"/>
      <family val="1"/>
    </font>
    <font>
      <sz val="11"/>
      <color indexed="8"/>
      <name val="Arial"/>
      <family val="2"/>
      <charset val="163"/>
    </font>
    <font>
      <sz val="11"/>
      <color indexed="9"/>
      <name val="Arial"/>
      <family val="2"/>
      <charset val="163"/>
    </font>
    <font>
      <sz val="11"/>
      <color indexed="20"/>
      <name val="Arial"/>
      <family val="2"/>
      <charset val="163"/>
    </font>
    <font>
      <b/>
      <sz val="11"/>
      <color indexed="52"/>
      <name val="Arial"/>
      <family val="2"/>
      <charset val="163"/>
    </font>
    <font>
      <b/>
      <sz val="11"/>
      <color indexed="9"/>
      <name val="Arial"/>
      <family val="2"/>
      <charset val="163"/>
    </font>
    <font>
      <sz val="10"/>
      <name val="Times New Roman"/>
      <family val="1"/>
    </font>
    <font>
      <i/>
      <sz val="11"/>
      <color indexed="23"/>
      <name val="Arial"/>
      <family val="2"/>
      <charset val="163"/>
    </font>
    <font>
      <sz val="11"/>
      <color indexed="17"/>
      <name val="Arial"/>
      <family val="2"/>
      <charset val="163"/>
    </font>
    <font>
      <b/>
      <sz val="15"/>
      <color indexed="56"/>
      <name val="Arial"/>
      <family val="2"/>
      <charset val="163"/>
    </font>
    <font>
      <b/>
      <sz val="13"/>
      <color indexed="56"/>
      <name val="Arial"/>
      <family val="2"/>
      <charset val="163"/>
    </font>
    <font>
      <b/>
      <sz val="11"/>
      <color indexed="56"/>
      <name val="Arial"/>
      <family val="2"/>
      <charset val="163"/>
    </font>
    <font>
      <sz val="11"/>
      <color indexed="62"/>
      <name val="Arial"/>
      <family val="2"/>
      <charset val="163"/>
    </font>
    <font>
      <sz val="11"/>
      <color indexed="52"/>
      <name val="Arial"/>
      <family val="2"/>
      <charset val="163"/>
    </font>
    <font>
      <sz val="11"/>
      <color indexed="60"/>
      <name val="Arial"/>
      <family val="2"/>
      <charset val="163"/>
    </font>
    <font>
      <b/>
      <sz val="11"/>
      <color indexed="63"/>
      <name val="Arial"/>
      <family val="2"/>
      <charset val="163"/>
    </font>
    <font>
      <sz val="10"/>
      <name val="VNI-Times"/>
    </font>
    <font>
      <b/>
      <sz val="18"/>
      <color indexed="56"/>
      <name val="Times New Roman"/>
      <family val="2"/>
      <charset val="163"/>
    </font>
    <font>
      <b/>
      <sz val="11"/>
      <color indexed="8"/>
      <name val="Arial"/>
      <family val="2"/>
      <charset val="163"/>
    </font>
    <font>
      <sz val="11"/>
      <color indexed="10"/>
      <name val="Arial"/>
      <family val="2"/>
      <charset val="163"/>
    </font>
    <font>
      <b/>
      <sz val="10"/>
      <name val="Times New Roman"/>
      <family val="1"/>
    </font>
    <font>
      <i/>
      <sz val="10"/>
      <name val="Times New Roman"/>
      <family val="1"/>
    </font>
    <font>
      <b/>
      <sz val="14"/>
      <name val="Times New Roman"/>
      <family val="1"/>
    </font>
    <font>
      <sz val="12"/>
      <name val="Times New Roman"/>
      <family val="1"/>
    </font>
    <font>
      <b/>
      <i/>
      <sz val="10"/>
      <name val="Times New Roman"/>
      <family val="1"/>
    </font>
    <font>
      <sz val="10"/>
      <color indexed="10"/>
      <name val="Times New Roman"/>
      <family val="1"/>
    </font>
    <font>
      <sz val="12"/>
      <name val="VNI-Times"/>
    </font>
    <font>
      <sz val="10"/>
      <name val="Arial"/>
      <family val="2"/>
    </font>
    <font>
      <sz val="10"/>
      <name val=".VnArial"/>
      <family val="2"/>
    </font>
    <font>
      <sz val="12"/>
      <name val="????"/>
      <charset val="136"/>
    </font>
    <font>
      <sz val="12"/>
      <name val="???"/>
      <family val="3"/>
    </font>
    <font>
      <sz val="10"/>
      <name val="???"/>
      <family val="3"/>
      <charset val="129"/>
    </font>
    <font>
      <sz val="10"/>
      <name val="Arial"/>
      <family val="2"/>
    </font>
    <font>
      <sz val="12"/>
      <color indexed="10"/>
      <name val="VN-NTime"/>
    </font>
    <font>
      <sz val="12"/>
      <name val="¹ÙÅÁÃ¼"/>
      <charset val="129"/>
    </font>
    <font>
      <sz val="12"/>
      <name val="¹UAAA¼"/>
      <family val="3"/>
      <charset val="129"/>
    </font>
    <font>
      <sz val="11"/>
      <name val="µ¸¿ò"/>
      <charset val="129"/>
    </font>
    <font>
      <b/>
      <sz val="10"/>
      <name val="Helv"/>
    </font>
    <font>
      <sz val="10"/>
      <name val="VNI-Aptima"/>
    </font>
    <font>
      <sz val="8"/>
      <name val="Arial"/>
      <family val="2"/>
    </font>
    <font>
      <b/>
      <sz val="12"/>
      <name val="Helv"/>
    </font>
    <font>
      <b/>
      <sz val="12"/>
      <name val="Arial"/>
      <family val="2"/>
    </font>
    <font>
      <b/>
      <sz val="18"/>
      <name val="Arial"/>
      <family val="2"/>
    </font>
    <font>
      <sz val="10"/>
      <name val="MS Sans Serif"/>
      <family val="2"/>
    </font>
    <font>
      <b/>
      <sz val="11"/>
      <name val="Helv"/>
    </font>
    <font>
      <sz val="12"/>
      <name val="Arial"/>
      <family val="2"/>
    </font>
    <font>
      <b/>
      <sz val="12"/>
      <name val="VN-NTime"/>
    </font>
    <font>
      <b/>
      <i/>
      <sz val="16"/>
      <name val="Helv"/>
      <family val="2"/>
    </font>
    <font>
      <sz val="11"/>
      <name val="VNI-Times"/>
    </font>
    <font>
      <sz val="10"/>
      <name val="VNI-Helve-Condense"/>
    </font>
    <font>
      <sz val="14"/>
      <name val="뼻뮝"/>
      <family val="3"/>
    </font>
    <font>
      <sz val="12"/>
      <name val="바탕체"/>
      <family val="3"/>
    </font>
    <font>
      <sz val="12"/>
      <name val="뼻뮝"/>
      <family val="3"/>
    </font>
    <font>
      <sz val="12"/>
      <name val="Courier"/>
      <family val="3"/>
    </font>
    <font>
      <sz val="11"/>
      <name val="돋움"/>
      <family val="3"/>
    </font>
    <font>
      <sz val="10"/>
      <name val="굴림체"/>
      <family val="3"/>
    </font>
    <font>
      <sz val="10"/>
      <name val=" "/>
      <family val="1"/>
      <charset val="136"/>
    </font>
    <font>
      <sz val="10"/>
      <name val=".vntime"/>
      <family val="2"/>
    </font>
    <font>
      <sz val="11"/>
      <color indexed="8"/>
      <name val="Calibri"/>
      <family val="2"/>
    </font>
    <font>
      <sz val="10"/>
      <name val="Arial"/>
      <family val="2"/>
    </font>
    <font>
      <b/>
      <sz val="10"/>
      <name val="Times New Roman"/>
      <family val="1"/>
      <charset val="163"/>
    </font>
    <font>
      <sz val="10"/>
      <name val="Times New Roman"/>
      <family val="1"/>
      <charset val="163"/>
    </font>
    <font>
      <sz val="12"/>
      <color indexed="8"/>
      <name val="Times New Roman"/>
      <family val="1"/>
    </font>
    <font>
      <b/>
      <i/>
      <sz val="12"/>
      <name val="Times New Roman"/>
      <family val="1"/>
    </font>
    <font>
      <sz val="11"/>
      <color indexed="8"/>
      <name val="Helvetica Neue"/>
    </font>
    <font>
      <sz val="10"/>
      <name val="Arial"/>
      <family val="2"/>
      <charset val="1"/>
    </font>
    <font>
      <i/>
      <sz val="10"/>
      <color indexed="8"/>
      <name val="Times New Roman"/>
      <family val="1"/>
    </font>
    <font>
      <b/>
      <sz val="8"/>
      <name val="Times New Roman"/>
      <family val="1"/>
    </font>
    <font>
      <b/>
      <sz val="10"/>
      <color indexed="8"/>
      <name val="Times New Roman"/>
      <family val="1"/>
    </font>
    <font>
      <b/>
      <sz val="13"/>
      <name val="Times New Roman"/>
      <family val="1"/>
    </font>
    <font>
      <sz val="13"/>
      <name val="Times New Roman"/>
      <family val="1"/>
    </font>
    <font>
      <i/>
      <sz val="13"/>
      <name val="Times New Roman"/>
      <family val="1"/>
    </font>
    <font>
      <b/>
      <sz val="14"/>
      <color indexed="8"/>
      <name val="Times New Roman"/>
      <family val="1"/>
    </font>
    <font>
      <b/>
      <sz val="12"/>
      <color indexed="8"/>
      <name val="Times New Roman"/>
      <family val="1"/>
    </font>
    <font>
      <sz val="11"/>
      <name val="Times New Roman"/>
      <family val="1"/>
    </font>
    <font>
      <b/>
      <sz val="10"/>
      <name val="Arial"/>
      <family val="2"/>
    </font>
    <font>
      <b/>
      <i/>
      <sz val="10"/>
      <name val="Arial"/>
      <family val="2"/>
    </font>
    <font>
      <b/>
      <vertAlign val="superscript"/>
      <sz val="10"/>
      <name val="Times New Roman"/>
      <family val="1"/>
    </font>
    <font>
      <b/>
      <sz val="11"/>
      <name val="Times New Roman"/>
      <family val="1"/>
    </font>
    <font>
      <sz val="8"/>
      <name val="Times New Roman"/>
      <family val="1"/>
    </font>
    <font>
      <i/>
      <u/>
      <sz val="12"/>
      <name val="Times New Roman"/>
      <family val="1"/>
    </font>
    <font>
      <b/>
      <sz val="12"/>
      <name val="Times New Roman"/>
      <family val="1"/>
    </font>
    <font>
      <i/>
      <sz val="12"/>
      <name val="Times New Roman"/>
      <family val="1"/>
    </font>
    <font>
      <sz val="10"/>
      <name val=".vntime"/>
      <family val="2"/>
    </font>
    <font>
      <b/>
      <sz val="12"/>
      <color indexed="63"/>
      <name val="VNI-Times"/>
    </font>
    <font>
      <b/>
      <sz val="10"/>
      <name val="Helv"/>
      <family val="2"/>
    </font>
    <font>
      <b/>
      <sz val="12"/>
      <name val=".VnBook-AntiquaH"/>
      <family val="2"/>
    </font>
    <font>
      <b/>
      <sz val="12"/>
      <name val="Helv"/>
      <family val="2"/>
    </font>
    <font>
      <b/>
      <sz val="11"/>
      <name val="Helv"/>
      <family val="2"/>
    </font>
    <font>
      <sz val="7"/>
      <name val="Small Fonts"/>
      <family val="2"/>
    </font>
    <font>
      <sz val="10"/>
      <name val="Symbol"/>
      <family val="1"/>
      <charset val="2"/>
    </font>
    <font>
      <sz val="10"/>
      <name val="VNtimes new roman"/>
      <family val="2"/>
    </font>
    <font>
      <sz val="14"/>
      <name val=".VnArial"/>
      <family val="2"/>
    </font>
    <font>
      <sz val="9"/>
      <name val="Arial"/>
      <family val="2"/>
    </font>
    <font>
      <sz val="10"/>
      <name val="Arial"/>
      <family val="2"/>
      <charset val="163"/>
    </font>
    <font>
      <sz val="10"/>
      <name val="Times New Roman"/>
      <family val="1"/>
      <charset val="1"/>
    </font>
    <font>
      <sz val="11"/>
      <color theme="1"/>
      <name val="Calibri"/>
      <family val="2"/>
      <scheme val="minor"/>
    </font>
    <font>
      <sz val="13"/>
      <color theme="1"/>
      <name val="VNI-Times"/>
      <family val="2"/>
    </font>
    <font>
      <b/>
      <sz val="10"/>
      <color rgb="FFFF0000"/>
      <name val="Times New Roman"/>
      <family val="1"/>
    </font>
    <font>
      <sz val="10"/>
      <color rgb="FFFF0000"/>
      <name val="Times New Roman"/>
      <family val="1"/>
    </font>
    <font>
      <b/>
      <sz val="10"/>
      <color rgb="FFFF0000"/>
      <name val="Times New Roman"/>
      <family val="1"/>
      <charset val="163"/>
    </font>
    <font>
      <sz val="10"/>
      <color rgb="FFFF0000"/>
      <name val="Times New Roman"/>
      <family val="1"/>
      <charset val="163"/>
    </font>
    <font>
      <sz val="10"/>
      <color theme="4"/>
      <name val="Times New Roman"/>
      <family val="1"/>
    </font>
    <font>
      <sz val="10"/>
      <color theme="1"/>
      <name val="Times New Roman"/>
      <family val="1"/>
    </font>
    <font>
      <i/>
      <sz val="10"/>
      <color rgb="FFFF0000"/>
      <name val="Times New Roman"/>
      <family val="1"/>
    </font>
    <font>
      <b/>
      <i/>
      <sz val="10"/>
      <color rgb="FFFF0000"/>
      <name val="Times New Roman"/>
      <family val="1"/>
    </font>
    <font>
      <sz val="10"/>
      <color rgb="FF7030A0"/>
      <name val="Times New Roman"/>
      <family val="1"/>
    </font>
    <font>
      <sz val="10"/>
      <color rgb="FF000000"/>
      <name val="Times New Roman"/>
      <family val="1"/>
    </font>
    <font>
      <b/>
      <sz val="12"/>
      <color rgb="FFFF0000"/>
      <name val="Times New Roman"/>
      <family val="1"/>
    </font>
    <font>
      <sz val="12"/>
      <color theme="1"/>
      <name val="Times New Roman"/>
      <family val="1"/>
    </font>
    <font>
      <sz val="12"/>
      <color rgb="FFFF0000"/>
      <name val="Times New Roman"/>
      <family val="1"/>
    </font>
    <font>
      <sz val="10"/>
      <color theme="1"/>
      <name val="Calibri"/>
      <family val="2"/>
      <scheme val="minor"/>
    </font>
    <font>
      <b/>
      <sz val="10"/>
      <color rgb="FFFF0000"/>
      <name val="Arial"/>
      <family val="2"/>
    </font>
    <font>
      <b/>
      <i/>
      <sz val="10"/>
      <color rgb="FFFF0000"/>
      <name val="Arial"/>
      <family val="2"/>
    </font>
    <font>
      <sz val="10"/>
      <color rgb="FFFF0000"/>
      <name val="Calibri"/>
      <family val="2"/>
      <scheme val="minor"/>
    </font>
    <font>
      <sz val="10"/>
      <color theme="4"/>
      <name val="Times New Roman"/>
      <family val="1"/>
      <charset val="163"/>
    </font>
    <font>
      <sz val="10"/>
      <color rgb="FF92D050"/>
      <name val="Times New Roman"/>
      <family val="1"/>
      <charset val="163"/>
    </font>
    <font>
      <sz val="10"/>
      <color theme="1"/>
      <name val="Times New Roman"/>
      <family val="1"/>
      <charset val="163"/>
    </font>
    <font>
      <sz val="10"/>
      <color theme="4"/>
      <name val="Calibri"/>
      <family val="2"/>
      <scheme val="minor"/>
    </font>
    <font>
      <b/>
      <sz val="10"/>
      <color theme="4"/>
      <name val="Times New Roman"/>
      <family val="1"/>
    </font>
    <font>
      <b/>
      <i/>
      <sz val="10"/>
      <color theme="4"/>
      <name val="Times New Roman"/>
      <family val="1"/>
    </font>
    <font>
      <sz val="11"/>
      <name val="Calibri"/>
      <family val="2"/>
      <scheme val="minor"/>
    </font>
    <font>
      <sz val="10"/>
      <name val="Calibri"/>
      <family val="2"/>
      <scheme val="minor"/>
    </font>
    <font>
      <i/>
      <sz val="9"/>
      <name val="Calibri"/>
      <family val="2"/>
      <scheme val="minor"/>
    </font>
  </fonts>
  <fills count="33">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92D050"/>
        <bgColor indexed="64"/>
      </patternFill>
    </fill>
  </fills>
  <borders count="32">
    <border>
      <left/>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2"/>
      </top>
      <bottom style="double">
        <color indexed="62"/>
      </bottom>
      <diagonal/>
    </border>
    <border>
      <left/>
      <right/>
      <top style="double">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style="thin">
        <color indexed="64"/>
      </right>
      <top style="dotted">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73">
    <xf numFmtId="0" fontId="0" fillId="0" borderId="0"/>
    <xf numFmtId="167" fontId="30" fillId="0" borderId="0" applyFont="0" applyFill="0" applyBorder="0" applyAlignment="0" applyProtection="0"/>
    <xf numFmtId="195" fontId="20" fillId="0" borderId="0" applyFont="0" applyFill="0" applyBorder="0" applyAlignment="0" applyProtection="0"/>
    <xf numFmtId="196" fontId="20" fillId="0" borderId="0" applyFont="0" applyFill="0" applyBorder="0" applyAlignment="0" applyProtection="0"/>
    <xf numFmtId="198" fontId="31" fillId="0" borderId="0" applyFont="0" applyFill="0" applyBorder="0" applyAlignment="0" applyProtection="0"/>
    <xf numFmtId="217" fontId="31" fillId="0" borderId="0" applyFont="0" applyFill="0" applyBorder="0" applyAlignment="0" applyProtection="0"/>
    <xf numFmtId="218" fontId="31" fillId="0" borderId="0" applyFont="0" applyFill="0" applyBorder="0" applyAlignment="0" applyProtection="0"/>
    <xf numFmtId="218" fontId="31" fillId="0" borderId="0" applyFont="0" applyFill="0" applyBorder="0" applyAlignment="0" applyProtection="0"/>
    <xf numFmtId="186" fontId="32" fillId="0" borderId="0" applyFont="0" applyFill="0" applyBorder="0" applyAlignment="0" applyProtection="0"/>
    <xf numFmtId="185" fontId="32" fillId="0" borderId="0" applyFont="0" applyFill="0" applyBorder="0" applyAlignment="0" applyProtection="0"/>
    <xf numFmtId="177" fontId="33" fillId="0" borderId="0" applyFont="0" applyFill="0" applyBorder="0" applyAlignment="0" applyProtection="0"/>
    <xf numFmtId="9" fontId="34" fillId="0" borderId="0" applyFont="0" applyFill="0" applyBorder="0" applyAlignment="0" applyProtection="0"/>
    <xf numFmtId="0" fontId="35" fillId="0" borderId="0"/>
    <xf numFmtId="189" fontId="31" fillId="0" borderId="0" applyFont="0" applyFill="0" applyBorder="0" applyAlignment="0" applyProtection="0"/>
    <xf numFmtId="165" fontId="20" fillId="0" borderId="0" applyFont="0" applyFill="0" applyBorder="0" applyAlignment="0" applyProtection="0"/>
    <xf numFmtId="167" fontId="20" fillId="0" borderId="0" applyFont="0" applyFill="0" applyBorder="0" applyAlignment="0" applyProtection="0"/>
    <xf numFmtId="167" fontId="30" fillId="0" borderId="0" applyFont="0" applyFill="0" applyBorder="0" applyAlignment="0" applyProtection="0"/>
    <xf numFmtId="176" fontId="30" fillId="0" borderId="0" applyFont="0" applyFill="0" applyBorder="0" applyAlignment="0" applyProtection="0"/>
    <xf numFmtId="176" fontId="20" fillId="0" borderId="0" applyFont="0" applyFill="0" applyBorder="0" applyAlignment="0" applyProtection="0"/>
    <xf numFmtId="201" fontId="31" fillId="0" borderId="0" applyFont="0" applyFill="0" applyBorder="0" applyAlignment="0" applyProtection="0"/>
    <xf numFmtId="194" fontId="20" fillId="0" borderId="0" applyFont="0" applyFill="0" applyBorder="0" applyAlignment="0" applyProtection="0"/>
    <xf numFmtId="177" fontId="30" fillId="0" borderId="0" applyFont="0" applyFill="0" applyBorder="0" applyAlignment="0" applyProtection="0"/>
    <xf numFmtId="167" fontId="20" fillId="0" borderId="0" applyFont="0" applyFill="0" applyBorder="0" applyAlignment="0" applyProtection="0"/>
    <xf numFmtId="189" fontId="31" fillId="0" borderId="0" applyFont="0" applyFill="0" applyBorder="0" applyAlignment="0" applyProtection="0"/>
    <xf numFmtId="165" fontId="20" fillId="0" borderId="0" applyFont="0" applyFill="0" applyBorder="0" applyAlignment="0" applyProtection="0"/>
    <xf numFmtId="195" fontId="20" fillId="0" borderId="0" applyFont="0" applyFill="0" applyBorder="0" applyAlignment="0" applyProtection="0"/>
    <xf numFmtId="176" fontId="20" fillId="0" borderId="0" applyFont="0" applyFill="0" applyBorder="0" applyAlignment="0" applyProtection="0"/>
    <xf numFmtId="201" fontId="31" fillId="0" borderId="0" applyFont="0" applyFill="0" applyBorder="0" applyAlignment="0" applyProtection="0"/>
    <xf numFmtId="194" fontId="20" fillId="0" borderId="0" applyFont="0" applyFill="0" applyBorder="0" applyAlignment="0" applyProtection="0"/>
    <xf numFmtId="176" fontId="30" fillId="0" borderId="0" applyFont="0" applyFill="0" applyBorder="0" applyAlignment="0" applyProtection="0"/>
    <xf numFmtId="177" fontId="20" fillId="0" borderId="0" applyFont="0" applyFill="0" applyBorder="0" applyAlignment="0" applyProtection="0"/>
    <xf numFmtId="200" fontId="31" fillId="0" borderId="0" applyFont="0" applyFill="0" applyBorder="0" applyAlignment="0" applyProtection="0"/>
    <xf numFmtId="193" fontId="20" fillId="0" borderId="0" applyFont="0" applyFill="0" applyBorder="0" applyAlignment="0" applyProtection="0"/>
    <xf numFmtId="189" fontId="31" fillId="0" borderId="0" applyFont="0" applyFill="0" applyBorder="0" applyAlignment="0" applyProtection="0"/>
    <xf numFmtId="165" fontId="20" fillId="0" borderId="0" applyFont="0" applyFill="0" applyBorder="0" applyAlignment="0" applyProtection="0"/>
    <xf numFmtId="195" fontId="20" fillId="0" borderId="0" applyFont="0" applyFill="0" applyBorder="0" applyAlignment="0" applyProtection="0"/>
    <xf numFmtId="177" fontId="30" fillId="0" borderId="0" applyFont="0" applyFill="0" applyBorder="0" applyAlignment="0" applyProtection="0"/>
    <xf numFmtId="176" fontId="30" fillId="0" borderId="0" applyFont="0" applyFill="0" applyBorder="0" applyAlignment="0" applyProtection="0"/>
    <xf numFmtId="177" fontId="20" fillId="0" borderId="0" applyFont="0" applyFill="0" applyBorder="0" applyAlignment="0" applyProtection="0"/>
    <xf numFmtId="200" fontId="31" fillId="0" borderId="0" applyFont="0" applyFill="0" applyBorder="0" applyAlignment="0" applyProtection="0"/>
    <xf numFmtId="193" fontId="20" fillId="0" borderId="0" applyFont="0" applyFill="0" applyBorder="0" applyAlignment="0" applyProtection="0"/>
    <xf numFmtId="176" fontId="20" fillId="0" borderId="0" applyFont="0" applyFill="0" applyBorder="0" applyAlignment="0" applyProtection="0"/>
    <xf numFmtId="201" fontId="31" fillId="0" borderId="0" applyFont="0" applyFill="0" applyBorder="0" applyAlignment="0" applyProtection="0"/>
    <xf numFmtId="194" fontId="20" fillId="0" borderId="0" applyFont="0" applyFill="0" applyBorder="0" applyAlignment="0" applyProtection="0"/>
    <xf numFmtId="177" fontId="30" fillId="0" borderId="0" applyFont="0" applyFill="0" applyBorder="0" applyAlignment="0" applyProtection="0"/>
    <xf numFmtId="167" fontId="30" fillId="0" borderId="0" applyFont="0" applyFill="0" applyBorder="0" applyAlignment="0" applyProtection="0"/>
    <xf numFmtId="195" fontId="20" fillId="0" borderId="0" applyFont="0" applyFill="0" applyBorder="0" applyAlignment="0" applyProtection="0"/>
    <xf numFmtId="177" fontId="30" fillId="0" borderId="0" applyFont="0" applyFill="0" applyBorder="0" applyAlignment="0" applyProtection="0"/>
    <xf numFmtId="177" fontId="20" fillId="0" borderId="0" applyFont="0" applyFill="0" applyBorder="0" applyAlignment="0" applyProtection="0"/>
    <xf numFmtId="200" fontId="31" fillId="0" borderId="0" applyFont="0" applyFill="0" applyBorder="0" applyAlignment="0" applyProtection="0"/>
    <xf numFmtId="193" fontId="20" fillId="0" borderId="0" applyFont="0" applyFill="0" applyBorder="0" applyAlignment="0" applyProtection="0"/>
    <xf numFmtId="176" fontId="20" fillId="0" borderId="0" applyFont="0" applyFill="0" applyBorder="0" applyAlignment="0" applyProtection="0"/>
    <xf numFmtId="201" fontId="31" fillId="0" borderId="0" applyFont="0" applyFill="0" applyBorder="0" applyAlignment="0" applyProtection="0"/>
    <xf numFmtId="194" fontId="20" fillId="0" borderId="0" applyFont="0" applyFill="0" applyBorder="0" applyAlignment="0" applyProtection="0"/>
    <xf numFmtId="167" fontId="30" fillId="0" borderId="0" applyFont="0" applyFill="0" applyBorder="0" applyAlignment="0" applyProtection="0"/>
    <xf numFmtId="176" fontId="30" fillId="0" borderId="0" applyFont="0" applyFill="0" applyBorder="0" applyAlignment="0" applyProtection="0"/>
    <xf numFmtId="2" fontId="37" fillId="2" borderId="1">
      <alignment horizontal="center"/>
    </xf>
    <xf numFmtId="9" fontId="38" fillId="0" borderId="0" applyFont="0" applyFill="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191" fontId="30" fillId="0" borderId="0" applyFont="0" applyFill="0" applyBorder="0" applyAlignment="0" applyProtection="0"/>
    <xf numFmtId="0" fontId="39" fillId="0" borderId="0" applyFont="0" applyFill="0" applyBorder="0" applyAlignment="0" applyProtection="0"/>
    <xf numFmtId="174" fontId="30" fillId="0" borderId="0" applyFont="0" applyFill="0" applyBorder="0" applyAlignment="0" applyProtection="0"/>
    <xf numFmtId="183" fontId="31" fillId="0" borderId="0" applyFont="0" applyFill="0" applyBorder="0" applyAlignment="0" applyProtection="0"/>
    <xf numFmtId="0" fontId="39" fillId="0" borderId="0" applyFont="0" applyFill="0" applyBorder="0" applyAlignment="0" applyProtection="0"/>
    <xf numFmtId="190" fontId="30" fillId="0" borderId="0" applyFont="0" applyFill="0" applyBorder="0" applyAlignment="0" applyProtection="0"/>
    <xf numFmtId="0" fontId="88" fillId="0" borderId="0" applyNumberFormat="0" applyBorder="0" applyAlignment="0">
      <alignment horizontal="center"/>
    </xf>
    <xf numFmtId="192" fontId="30" fillId="0" borderId="0" applyFont="0" applyFill="0" applyBorder="0" applyAlignment="0" applyProtection="0"/>
    <xf numFmtId="0" fontId="39" fillId="0" borderId="0" applyFont="0" applyFill="0" applyBorder="0" applyAlignment="0" applyProtection="0"/>
    <xf numFmtId="185" fontId="38" fillId="0" borderId="0" applyFont="0" applyFill="0" applyBorder="0" applyAlignment="0" applyProtection="0"/>
    <xf numFmtId="182" fontId="31" fillId="0" borderId="0" applyFont="0" applyFill="0" applyBorder="0" applyAlignment="0" applyProtection="0"/>
    <xf numFmtId="0" fontId="39" fillId="0" borderId="0" applyFont="0" applyFill="0" applyBorder="0" applyAlignment="0" applyProtection="0"/>
    <xf numFmtId="186" fontId="38" fillId="0" borderId="0" applyFont="0" applyFill="0" applyBorder="0" applyAlignment="0" applyProtection="0"/>
    <xf numFmtId="167" fontId="30" fillId="0" borderId="0" applyFont="0" applyFill="0" applyBorder="0" applyAlignment="0" applyProtection="0"/>
    <xf numFmtId="0" fontId="7" fillId="4" borderId="0" applyNumberFormat="0" applyBorder="0" applyAlignment="0" applyProtection="0"/>
    <xf numFmtId="0" fontId="39" fillId="0" borderId="0"/>
    <xf numFmtId="0" fontId="40" fillId="0" borderId="0"/>
    <xf numFmtId="0" fontId="39" fillId="0" borderId="0"/>
    <xf numFmtId="0" fontId="40" fillId="0" borderId="0"/>
    <xf numFmtId="0" fontId="8" fillId="21" borderId="2" applyNumberFormat="0" applyAlignment="0" applyProtection="0"/>
    <xf numFmtId="0" fontId="41" fillId="0" borderId="0"/>
    <xf numFmtId="0" fontId="89" fillId="0" borderId="0"/>
    <xf numFmtId="197" fontId="20" fillId="0" borderId="0" applyFont="0" applyFill="0" applyBorder="0" applyAlignment="0" applyProtection="0"/>
    <xf numFmtId="0" fontId="9" fillId="22" borderId="3" applyNumberFormat="0" applyAlignment="0" applyProtection="0"/>
    <xf numFmtId="1" fontId="42" fillId="0" borderId="4" applyBorder="0"/>
    <xf numFmtId="166" fontId="1" fillId="0" borderId="0" applyFont="0" applyFill="0" applyBorder="0" applyAlignment="0" applyProtection="0"/>
    <xf numFmtId="41" fontId="61" fillId="0" borderId="0" applyFont="0" applyFill="0" applyBorder="0" applyAlignment="0" applyProtection="0"/>
    <xf numFmtId="210" fontId="31" fillId="0" borderId="0" applyFont="0" applyFill="0" applyBorder="0" applyAlignment="0" applyProtection="0"/>
    <xf numFmtId="41" fontId="87" fillId="0" borderId="0" applyFont="0" applyFill="0" applyBorder="0" applyAlignment="0" applyProtection="0"/>
    <xf numFmtId="43" fontId="100" fillId="0" borderId="0" applyFont="0" applyFill="0" applyBorder="0" applyAlignment="0" applyProtection="0"/>
    <xf numFmtId="166" fontId="30" fillId="0" borderId="0" applyFont="0" applyFill="0" applyBorder="0" applyAlignment="0" applyProtection="0"/>
    <xf numFmtId="166" fontId="31" fillId="0" borderId="0" applyFont="0" applyFill="0" applyBorder="0" applyAlignment="0" applyProtection="0"/>
    <xf numFmtId="207" fontId="31" fillId="0" borderId="0" applyBorder="0" applyProtection="0"/>
    <xf numFmtId="216" fontId="31" fillId="0" borderId="0" applyFont="0" applyFill="0" applyBorder="0" applyAlignment="0" applyProtection="0"/>
    <xf numFmtId="166" fontId="63" fillId="0" borderId="0" applyFont="0" applyFill="0" applyBorder="0" applyAlignment="0" applyProtection="0"/>
    <xf numFmtId="166" fontId="31" fillId="0" borderId="0" applyFont="0" applyFill="0" applyBorder="0" applyAlignment="0" applyProtection="0"/>
    <xf numFmtId="166" fontId="100" fillId="0" borderId="0" applyFont="0" applyFill="0" applyBorder="0" applyAlignment="0" applyProtection="0"/>
    <xf numFmtId="207" fontId="31" fillId="0" borderId="0" applyBorder="0" applyProtection="0"/>
    <xf numFmtId="166" fontId="62" fillId="0" borderId="0" applyFont="0" applyFill="0" applyBorder="0" applyAlignment="0" applyProtection="0"/>
    <xf numFmtId="207" fontId="31" fillId="0" borderId="0" applyBorder="0" applyProtection="0"/>
    <xf numFmtId="43" fontId="62" fillId="0" borderId="0" applyFont="0" applyFill="0" applyBorder="0" applyAlignment="0" applyProtection="0"/>
    <xf numFmtId="43" fontId="87" fillId="0" borderId="0" applyFont="0" applyFill="0" applyBorder="0" applyAlignment="0" applyProtection="0"/>
    <xf numFmtId="43" fontId="87" fillId="0" borderId="0" applyFont="0" applyFill="0" applyBorder="0" applyAlignment="0" applyProtection="0"/>
    <xf numFmtId="219" fontId="4" fillId="0" borderId="0"/>
    <xf numFmtId="3" fontId="36" fillId="0" borderId="0" applyFont="0" applyFill="0" applyBorder="0" applyAlignment="0" applyProtection="0"/>
    <xf numFmtId="3" fontId="31" fillId="0" borderId="0" applyFont="0" applyFill="0" applyBorder="0" applyAlignment="0" applyProtection="0"/>
    <xf numFmtId="184" fontId="31" fillId="0" borderId="0" applyFont="0" applyFill="0" applyBorder="0" applyAlignment="0" applyProtection="0"/>
    <xf numFmtId="171" fontId="31" fillId="0" borderId="0" applyFont="0" applyFill="0" applyBorder="0" applyAlignment="0" applyProtection="0"/>
    <xf numFmtId="199" fontId="31" fillId="0" borderId="0" applyFont="0" applyFill="0" applyBorder="0" applyAlignment="0" applyProtection="0"/>
    <xf numFmtId="173" fontId="36" fillId="0" borderId="0" applyFont="0" applyFill="0" applyBorder="0" applyAlignment="0" applyProtection="0"/>
    <xf numFmtId="173" fontId="31" fillId="0" borderId="0" applyFont="0" applyFill="0" applyBorder="0" applyAlignment="0" applyProtection="0"/>
    <xf numFmtId="220" fontId="31" fillId="0" borderId="0"/>
    <xf numFmtId="0" fontId="36" fillId="0" borderId="0" applyFont="0" applyFill="0" applyBorder="0" applyAlignment="0" applyProtection="0"/>
    <xf numFmtId="0" fontId="31" fillId="0" borderId="0" applyFont="0" applyFill="0" applyBorder="0" applyAlignment="0" applyProtection="0"/>
    <xf numFmtId="221" fontId="31" fillId="0" borderId="0"/>
    <xf numFmtId="0" fontId="11" fillId="0" borderId="0" applyNumberFormat="0" applyFill="0" applyBorder="0" applyAlignment="0" applyProtection="0"/>
    <xf numFmtId="2" fontId="36" fillId="0" borderId="0" applyFont="0" applyFill="0" applyBorder="0" applyAlignment="0" applyProtection="0"/>
    <xf numFmtId="2" fontId="31" fillId="0" borderId="0" applyFont="0" applyFill="0" applyBorder="0" applyAlignment="0" applyProtection="0"/>
    <xf numFmtId="0" fontId="12" fillId="5" borderId="0" applyNumberFormat="0" applyBorder="0" applyAlignment="0" applyProtection="0"/>
    <xf numFmtId="38" fontId="43" fillId="2" borderId="0" applyNumberFormat="0" applyBorder="0" applyAlignment="0" applyProtection="0"/>
    <xf numFmtId="38" fontId="2" fillId="2" borderId="0" applyNumberFormat="0" applyBorder="0" applyAlignment="0" applyProtection="0"/>
    <xf numFmtId="0" fontId="90" fillId="0" borderId="0" applyNumberFormat="0" applyFont="0" applyBorder="0" applyAlignment="0">
      <alignment horizontal="left" vertical="center"/>
    </xf>
    <xf numFmtId="0" fontId="44" fillId="0" borderId="0">
      <alignment horizontal="left"/>
    </xf>
    <xf numFmtId="0" fontId="91" fillId="0" borderId="0">
      <alignment horizontal="left"/>
    </xf>
    <xf numFmtId="0" fontId="45" fillId="0" borderId="5" applyNumberFormat="0" applyAlignment="0" applyProtection="0">
      <alignment horizontal="left" vertical="center"/>
    </xf>
    <xf numFmtId="0" fontId="45" fillId="0" borderId="6">
      <alignment horizontal="left" vertical="center"/>
    </xf>
    <xf numFmtId="0" fontId="13" fillId="0" borderId="7" applyNumberFormat="0" applyFill="0" applyAlignment="0" applyProtection="0"/>
    <xf numFmtId="0" fontId="46" fillId="0" borderId="0" applyNumberFormat="0" applyFill="0" applyBorder="0" applyAlignment="0" applyProtection="0"/>
    <xf numFmtId="0" fontId="14" fillId="0" borderId="8" applyNumberFormat="0" applyFill="0" applyAlignment="0" applyProtection="0"/>
    <xf numFmtId="0" fontId="45" fillId="0" borderId="0" applyNumberFormat="0" applyFill="0" applyBorder="0" applyAlignment="0" applyProtection="0"/>
    <xf numFmtId="0" fontId="15" fillId="0" borderId="9" applyNumberFormat="0" applyFill="0" applyAlignment="0" applyProtection="0"/>
    <xf numFmtId="0" fontId="15" fillId="0" borderId="0" applyNumberFormat="0" applyFill="0" applyBorder="0" applyAlignment="0" applyProtection="0"/>
    <xf numFmtId="0" fontId="46" fillId="0" borderId="0" applyProtection="0"/>
    <xf numFmtId="0" fontId="45" fillId="0" borderId="0" applyProtection="0"/>
    <xf numFmtId="193" fontId="20" fillId="0" borderId="0" applyFont="0" applyFill="0" applyBorder="0" applyAlignment="0" applyProtection="0"/>
    <xf numFmtId="0" fontId="16" fillId="8" borderId="2" applyNumberFormat="0" applyAlignment="0" applyProtection="0"/>
    <xf numFmtId="10" fontId="43" fillId="2" borderId="10" applyNumberFormat="0" applyBorder="0" applyAlignment="0" applyProtection="0"/>
    <xf numFmtId="10" fontId="2" fillId="2" borderId="10" applyNumberFormat="0" applyBorder="0" applyAlignment="0" applyProtection="0"/>
    <xf numFmtId="0" fontId="17" fillId="0" borderId="11" applyNumberFormat="0" applyFill="0" applyAlignment="0" applyProtection="0"/>
    <xf numFmtId="38" fontId="47" fillId="0" borderId="0" applyFont="0" applyFill="0" applyBorder="0" applyAlignment="0" applyProtection="0"/>
    <xf numFmtId="40" fontId="47" fillId="0" borderId="0" applyFont="0" applyFill="0" applyBorder="0" applyAlignment="0" applyProtection="0"/>
    <xf numFmtId="0" fontId="48" fillId="0" borderId="12"/>
    <xf numFmtId="0" fontId="92" fillId="0" borderId="12"/>
    <xf numFmtId="167" fontId="31" fillId="0" borderId="0" applyFont="0" applyFill="0" applyBorder="0" applyAlignment="0" applyProtection="0"/>
    <xf numFmtId="178" fontId="31" fillId="0" borderId="0" applyFont="0" applyFill="0" applyBorder="0" applyAlignment="0" applyProtection="0"/>
    <xf numFmtId="222" fontId="31" fillId="0" borderId="0" applyFont="0" applyFill="0" applyBorder="0" applyAlignment="0" applyProtection="0"/>
    <xf numFmtId="223" fontId="31" fillId="0" borderId="0" applyFont="0" applyFill="0" applyBorder="0" applyAlignment="0" applyProtection="0"/>
    <xf numFmtId="0" fontId="49" fillId="0" borderId="0" applyNumberFormat="0" applyFont="0" applyFill="0" applyAlignment="0"/>
    <xf numFmtId="0" fontId="18" fillId="23" borderId="0" applyNumberFormat="0" applyBorder="0" applyAlignment="0" applyProtection="0"/>
    <xf numFmtId="0" fontId="4" fillId="0" borderId="0"/>
    <xf numFmtId="37" fontId="93" fillId="0" borderId="0"/>
    <xf numFmtId="0" fontId="50" fillId="0" borderId="10" applyNumberFormat="0" applyFont="0" applyFill="0" applyBorder="0" applyAlignment="0">
      <alignment horizontal="center"/>
    </xf>
    <xf numFmtId="188" fontId="51" fillId="0" borderId="0"/>
    <xf numFmtId="224" fontId="4" fillId="0" borderId="0"/>
    <xf numFmtId="0" fontId="100" fillId="0" borderId="0"/>
    <xf numFmtId="0" fontId="27" fillId="0" borderId="0"/>
    <xf numFmtId="0" fontId="100" fillId="0" borderId="0"/>
    <xf numFmtId="0" fontId="100" fillId="0" borderId="0"/>
    <xf numFmtId="0" fontId="31" fillId="0" borderId="0"/>
    <xf numFmtId="0" fontId="31" fillId="0" borderId="0"/>
    <xf numFmtId="0" fontId="31" fillId="0" borderId="0"/>
    <xf numFmtId="0" fontId="31" fillId="0" borderId="0"/>
    <xf numFmtId="0" fontId="31" fillId="0" borderId="0"/>
    <xf numFmtId="0" fontId="31" fillId="0" borderId="0"/>
    <xf numFmtId="0" fontId="87" fillId="0" borderId="0"/>
    <xf numFmtId="0" fontId="30" fillId="0" borderId="0"/>
    <xf numFmtId="0" fontId="31" fillId="0" borderId="0"/>
    <xf numFmtId="0" fontId="100" fillId="0" borderId="0"/>
    <xf numFmtId="0" fontId="69" fillId="0" borderId="0"/>
    <xf numFmtId="0" fontId="31" fillId="0" borderId="0"/>
    <xf numFmtId="0" fontId="87" fillId="0" borderId="0"/>
    <xf numFmtId="0" fontId="4" fillId="0" borderId="0"/>
    <xf numFmtId="0" fontId="61" fillId="0" borderId="0"/>
    <xf numFmtId="0" fontId="20" fillId="0" borderId="0"/>
    <xf numFmtId="0" fontId="30" fillId="0" borderId="0"/>
    <xf numFmtId="0" fontId="31" fillId="0" borderId="0"/>
    <xf numFmtId="0" fontId="30" fillId="0" borderId="0"/>
    <xf numFmtId="0" fontId="27" fillId="0" borderId="0"/>
    <xf numFmtId="0" fontId="68" fillId="0" borderId="0" applyNumberFormat="0" applyFill="0" applyBorder="0" applyProtection="0">
      <alignment vertical="top"/>
    </xf>
    <xf numFmtId="0" fontId="100" fillId="0" borderId="0"/>
    <xf numFmtId="0" fontId="101" fillId="0" borderId="0"/>
    <xf numFmtId="0" fontId="100" fillId="0" borderId="0"/>
    <xf numFmtId="0" fontId="100" fillId="0" borderId="0"/>
    <xf numFmtId="0" fontId="98" fillId="0" borderId="0"/>
    <xf numFmtId="0" fontId="31" fillId="0" borderId="0"/>
    <xf numFmtId="0" fontId="31" fillId="0" borderId="0"/>
    <xf numFmtId="0" fontId="10" fillId="0" borderId="0"/>
    <xf numFmtId="0" fontId="4" fillId="0" borderId="0"/>
    <xf numFmtId="0" fontId="4" fillId="24" borderId="13" applyNumberFormat="0" applyFont="0" applyAlignment="0" applyProtection="0"/>
    <xf numFmtId="0" fontId="19" fillId="21" borderId="14" applyNumberFormat="0" applyAlignment="0" applyProtection="0"/>
    <xf numFmtId="9" fontId="1" fillId="0" borderId="0" applyFont="0" applyFill="0" applyBorder="0" applyAlignment="0" applyProtection="0"/>
    <xf numFmtId="10" fontId="31" fillId="0" borderId="0" applyFont="0" applyFill="0" applyBorder="0" applyAlignment="0" applyProtection="0"/>
    <xf numFmtId="9" fontId="61" fillId="0" borderId="0" applyFont="0" applyFill="0" applyBorder="0" applyAlignment="0" applyProtection="0"/>
    <xf numFmtId="9" fontId="87" fillId="0" borderId="0" applyFont="0" applyFill="0" applyBorder="0" applyAlignment="0" applyProtection="0"/>
    <xf numFmtId="9" fontId="87" fillId="0" borderId="0" applyFont="0" applyFill="0" applyBorder="0" applyAlignment="0" applyProtection="0"/>
    <xf numFmtId="193" fontId="20" fillId="0" borderId="0" applyFont="0" applyFill="0" applyBorder="0" applyAlignment="0" applyProtection="0"/>
    <xf numFmtId="167" fontId="20" fillId="0" borderId="0" applyFont="0" applyFill="0" applyBorder="0" applyAlignment="0" applyProtection="0"/>
    <xf numFmtId="208" fontId="31" fillId="0" borderId="0" applyBorder="0" applyProtection="0"/>
    <xf numFmtId="225" fontId="20" fillId="0" borderId="0" applyFont="0" applyFill="0" applyBorder="0" applyAlignment="0" applyProtection="0"/>
    <xf numFmtId="225" fontId="20" fillId="0" borderId="0" applyFont="0" applyFill="0" applyBorder="0" applyAlignment="0" applyProtection="0"/>
    <xf numFmtId="165" fontId="20" fillId="0" borderId="0" applyFont="0" applyFill="0" applyBorder="0" applyAlignment="0" applyProtection="0"/>
    <xf numFmtId="195" fontId="20" fillId="0" borderId="0" applyFont="0" applyFill="0" applyBorder="0" applyAlignment="0" applyProtection="0"/>
    <xf numFmtId="177" fontId="20" fillId="0" borderId="0" applyFont="0" applyFill="0" applyBorder="0" applyAlignment="0" applyProtection="0"/>
    <xf numFmtId="200" fontId="31" fillId="0" borderId="0" applyFont="0" applyFill="0" applyBorder="0" applyAlignment="0" applyProtection="0"/>
    <xf numFmtId="193" fontId="20" fillId="0" borderId="0" applyFont="0" applyFill="0" applyBorder="0" applyAlignment="0" applyProtection="0"/>
    <xf numFmtId="177" fontId="20" fillId="0" borderId="0" applyFont="0" applyFill="0" applyBorder="0" applyAlignment="0" applyProtection="0"/>
    <xf numFmtId="200" fontId="31" fillId="0" borderId="0" applyFont="0" applyFill="0" applyBorder="0" applyAlignment="0" applyProtection="0"/>
    <xf numFmtId="193" fontId="20" fillId="0" borderId="0" applyFont="0" applyFill="0" applyBorder="0" applyAlignment="0" applyProtection="0"/>
    <xf numFmtId="167" fontId="20" fillId="0" borderId="0" applyFont="0" applyFill="0" applyBorder="0" applyAlignment="0" applyProtection="0"/>
    <xf numFmtId="189" fontId="31" fillId="0" borderId="0" applyFont="0" applyFill="0" applyBorder="0" applyAlignment="0" applyProtection="0"/>
    <xf numFmtId="0" fontId="48" fillId="0" borderId="0"/>
    <xf numFmtId="0" fontId="92" fillId="0" borderId="0"/>
    <xf numFmtId="0" fontId="94" fillId="0" borderId="0"/>
    <xf numFmtId="168" fontId="52" fillId="0" borderId="15">
      <alignment horizontal="right" vertical="center"/>
    </xf>
    <xf numFmtId="202" fontId="31" fillId="0" borderId="15">
      <alignment horizontal="right" vertical="center"/>
    </xf>
    <xf numFmtId="203" fontId="31" fillId="0" borderId="15">
      <alignment horizontal="right" vertical="center"/>
    </xf>
    <xf numFmtId="168" fontId="52" fillId="0" borderId="15">
      <alignment horizontal="right" vertical="center"/>
    </xf>
    <xf numFmtId="202" fontId="31" fillId="0" borderId="15">
      <alignment horizontal="right" vertical="center"/>
    </xf>
    <xf numFmtId="171" fontId="52" fillId="25" borderId="16" applyFont="0" applyFill="0" applyBorder="0"/>
    <xf numFmtId="0" fontId="30" fillId="0" borderId="17" applyNumberFormat="0" applyFont="0" applyBorder="0" applyAlignment="0">
      <alignment horizontal="left"/>
    </xf>
    <xf numFmtId="182" fontId="52" fillId="0" borderId="15">
      <alignment horizontal="center"/>
    </xf>
    <xf numFmtId="0" fontId="21" fillId="0" borderId="0" applyNumberFormat="0" applyFill="0" applyBorder="0" applyAlignment="0" applyProtection="0"/>
    <xf numFmtId="0" fontId="22" fillId="0" borderId="18" applyNumberFormat="0" applyFill="0" applyAlignment="0" applyProtection="0"/>
    <xf numFmtId="0" fontId="36" fillId="0" borderId="19" applyNumberFormat="0" applyFont="0" applyFill="0" applyAlignment="0" applyProtection="0"/>
    <xf numFmtId="0" fontId="31" fillId="0" borderId="19" applyNumberFormat="0" applyFont="0" applyFill="0" applyAlignment="0" applyProtection="0"/>
    <xf numFmtId="187" fontId="53" fillId="0" borderId="0"/>
    <xf numFmtId="189" fontId="52" fillId="0" borderId="10"/>
    <xf numFmtId="0" fontId="95" fillId="0" borderId="0"/>
    <xf numFmtId="0" fontId="95" fillId="0" borderId="0"/>
    <xf numFmtId="0" fontId="23" fillId="0" borderId="0" applyNumberFormat="0" applyFill="0" applyBorder="0" applyAlignment="0" applyProtection="0"/>
    <xf numFmtId="0" fontId="96" fillId="0" borderId="0" applyNumberForma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0" fontId="27" fillId="0" borderId="0">
      <alignment vertical="center"/>
    </xf>
    <xf numFmtId="40" fontId="54" fillId="0" borderId="0" applyFont="0" applyFill="0" applyBorder="0" applyAlignment="0" applyProtection="0"/>
    <xf numFmtId="38" fontId="54" fillId="0" borderId="0" applyFont="0" applyFill="0" applyBorder="0" applyAlignment="0" applyProtection="0"/>
    <xf numFmtId="0" fontId="54" fillId="0" borderId="0" applyFont="0" applyFill="0" applyBorder="0" applyAlignment="0" applyProtection="0"/>
    <xf numFmtId="0" fontId="54" fillId="0" borderId="0" applyFont="0" applyFill="0" applyBorder="0" applyAlignment="0" applyProtection="0"/>
    <xf numFmtId="9" fontId="55" fillId="0" borderId="0" applyFont="0" applyFill="0" applyBorder="0" applyAlignment="0" applyProtection="0"/>
    <xf numFmtId="0" fontId="56" fillId="0" borderId="0"/>
    <xf numFmtId="181" fontId="58" fillId="0" borderId="0" applyFont="0" applyFill="0" applyBorder="0" applyAlignment="0" applyProtection="0"/>
    <xf numFmtId="175" fontId="58" fillId="0" borderId="0" applyFont="0" applyFill="0" applyBorder="0" applyAlignment="0" applyProtection="0"/>
    <xf numFmtId="180" fontId="58" fillId="0" borderId="0" applyFont="0" applyFill="0" applyBorder="0" applyAlignment="0" applyProtection="0"/>
    <xf numFmtId="179" fontId="58" fillId="0" borderId="0" applyFont="0" applyFill="0" applyBorder="0" applyAlignment="0" applyProtection="0"/>
    <xf numFmtId="0" fontId="59" fillId="0" borderId="0"/>
    <xf numFmtId="0" fontId="49" fillId="0" borderId="0"/>
    <xf numFmtId="177" fontId="97" fillId="0" borderId="0" applyFont="0" applyFill="0" applyBorder="0" applyAlignment="0" applyProtection="0"/>
    <xf numFmtId="176" fontId="97" fillId="0" borderId="0" applyFont="0" applyFill="0" applyBorder="0" applyAlignment="0" applyProtection="0"/>
    <xf numFmtId="225" fontId="97" fillId="0" borderId="0" applyFont="0" applyFill="0" applyBorder="0" applyAlignment="0" applyProtection="0"/>
    <xf numFmtId="164" fontId="57" fillId="0" borderId="0" applyFont="0" applyFill="0" applyBorder="0" applyAlignment="0" applyProtection="0"/>
    <xf numFmtId="226" fontId="97" fillId="0" borderId="0" applyFont="0" applyFill="0" applyBorder="0" applyAlignment="0" applyProtection="0"/>
  </cellStyleXfs>
  <cellXfs count="866">
    <xf numFmtId="0" fontId="0" fillId="0" borderId="0" xfId="0"/>
    <xf numFmtId="3" fontId="102" fillId="26" borderId="20" xfId="0" applyNumberFormat="1" applyFont="1" applyFill="1" applyBorder="1"/>
    <xf numFmtId="3" fontId="102" fillId="26" borderId="20" xfId="0" applyNumberFormat="1" applyFont="1" applyFill="1" applyBorder="1" applyAlignment="1">
      <alignment horizontal="center" vertical="center"/>
    </xf>
    <xf numFmtId="3" fontId="103" fillId="26" borderId="20" xfId="0" applyNumberFormat="1" applyFont="1" applyFill="1" applyBorder="1" applyAlignment="1">
      <alignment horizontal="center" vertical="center" wrapText="1"/>
    </xf>
    <xf numFmtId="3" fontId="4" fillId="26" borderId="0" xfId="0" applyNumberFormat="1" applyFont="1" applyFill="1" applyAlignment="1">
      <alignment horizontal="center" vertical="center"/>
    </xf>
    <xf numFmtId="3" fontId="4" fillId="26" borderId="0" xfId="0" applyNumberFormat="1" applyFont="1" applyFill="1"/>
    <xf numFmtId="3" fontId="24" fillId="26" borderId="0" xfId="0" applyNumberFormat="1" applyFont="1" applyFill="1"/>
    <xf numFmtId="3" fontId="103" fillId="26" borderId="0" xfId="0" applyNumberFormat="1" applyFont="1" applyFill="1"/>
    <xf numFmtId="0" fontId="4" fillId="26" borderId="20" xfId="0" applyNumberFormat="1" applyFont="1" applyFill="1" applyBorder="1" applyAlignment="1">
      <alignment horizontal="center" vertical="center" wrapText="1"/>
    </xf>
    <xf numFmtId="0" fontId="4" fillId="26" borderId="20" xfId="208" applyNumberFormat="1" applyFont="1" applyFill="1" applyBorder="1" applyAlignment="1">
      <alignment horizontal="left" vertical="center" wrapText="1"/>
    </xf>
    <xf numFmtId="3" fontId="3" fillId="26" borderId="20" xfId="0" applyNumberFormat="1" applyFont="1" applyFill="1" applyBorder="1" applyAlignment="1">
      <alignment horizontal="center" vertical="center" wrapText="1"/>
    </xf>
    <xf numFmtId="3" fontId="24" fillId="26" borderId="20" xfId="0" applyNumberFormat="1" applyFont="1" applyFill="1" applyBorder="1" applyAlignment="1">
      <alignment vertical="center" wrapText="1"/>
    </xf>
    <xf numFmtId="3" fontId="4" fillId="26" borderId="20" xfId="0" applyNumberFormat="1" applyFont="1" applyFill="1" applyBorder="1" applyAlignment="1">
      <alignment vertical="center" wrapText="1"/>
    </xf>
    <xf numFmtId="3" fontId="4" fillId="26" borderId="20" xfId="0" applyNumberFormat="1" applyFont="1" applyFill="1" applyBorder="1" applyAlignment="1">
      <alignment horizontal="center" vertical="center" wrapText="1"/>
    </xf>
    <xf numFmtId="1" fontId="4" fillId="26" borderId="20" xfId="218" quotePrefix="1" applyNumberFormat="1" applyFont="1" applyFill="1" applyBorder="1" applyAlignment="1">
      <alignment horizontal="center" vertical="center" wrapText="1"/>
    </xf>
    <xf numFmtId="0" fontId="4" fillId="26" borderId="20" xfId="0" applyFont="1" applyFill="1" applyBorder="1" applyAlignment="1">
      <alignment horizontal="center" vertical="center" wrapText="1"/>
    </xf>
    <xf numFmtId="166" fontId="4" fillId="26" borderId="0" xfId="107" applyFont="1" applyFill="1"/>
    <xf numFmtId="0" fontId="4" fillId="26" borderId="20" xfId="0" applyNumberFormat="1" applyFont="1" applyFill="1" applyBorder="1" applyAlignment="1">
      <alignment horizontal="left" vertical="center" wrapText="1"/>
    </xf>
    <xf numFmtId="3" fontId="4" fillId="26" borderId="20" xfId="208" applyNumberFormat="1" applyFont="1" applyFill="1" applyBorder="1" applyAlignment="1">
      <alignment horizontal="center" vertical="center" wrapText="1"/>
    </xf>
    <xf numFmtId="0" fontId="24" fillId="26" borderId="0" xfId="0" applyFont="1" applyFill="1"/>
    <xf numFmtId="0" fontId="4" fillId="26" borderId="0" xfId="0" applyFont="1" applyFill="1"/>
    <xf numFmtId="0" fontId="25" fillId="26" borderId="0" xfId="0" applyFont="1" applyFill="1" applyAlignment="1"/>
    <xf numFmtId="0" fontId="4" fillId="26" borderId="0" xfId="0" applyFont="1" applyFill="1" applyAlignment="1">
      <alignment horizontal="center"/>
    </xf>
    <xf numFmtId="3" fontId="4" fillId="26" borderId="0" xfId="208" applyNumberFormat="1" applyFont="1" applyFill="1" applyBorder="1" applyAlignment="1">
      <alignment horizontal="center" vertical="center" wrapText="1"/>
    </xf>
    <xf numFmtId="170" fontId="3" fillId="26" borderId="20" xfId="107" applyNumberFormat="1" applyFont="1" applyFill="1" applyBorder="1" applyAlignment="1">
      <alignment horizontal="right" vertical="center" wrapText="1"/>
    </xf>
    <xf numFmtId="170" fontId="103" fillId="26" borderId="20" xfId="107" applyNumberFormat="1" applyFont="1" applyFill="1" applyBorder="1" applyAlignment="1">
      <alignment horizontal="right" vertical="center" wrapText="1"/>
    </xf>
    <xf numFmtId="170" fontId="4" fillId="26" borderId="20" xfId="107" quotePrefix="1" applyNumberFormat="1" applyFont="1" applyFill="1" applyBorder="1" applyAlignment="1">
      <alignment horizontal="center" vertical="center" wrapText="1"/>
    </xf>
    <xf numFmtId="166" fontId="24" fillId="26" borderId="0" xfId="107" applyFont="1" applyFill="1"/>
    <xf numFmtId="166" fontId="4" fillId="26" borderId="0" xfId="107" applyFont="1" applyFill="1" applyAlignment="1">
      <alignment vertical="center"/>
    </xf>
    <xf numFmtId="3" fontId="102" fillId="26" borderId="0" xfId="0" applyNumberFormat="1" applyFont="1" applyFill="1"/>
    <xf numFmtId="166" fontId="4" fillId="26" borderId="0" xfId="107" applyFont="1" applyFill="1" applyAlignment="1">
      <alignment horizontal="center"/>
    </xf>
    <xf numFmtId="3" fontId="102" fillId="26" borderId="21" xfId="0" applyNumberFormat="1" applyFont="1" applyFill="1" applyBorder="1" applyAlignment="1">
      <alignment horizontal="center" vertical="center"/>
    </xf>
    <xf numFmtId="3" fontId="102" fillId="26" borderId="21" xfId="0" applyNumberFormat="1" applyFont="1" applyFill="1" applyBorder="1" applyAlignment="1">
      <alignment horizontal="center"/>
    </xf>
    <xf numFmtId="3" fontId="102" fillId="26" borderId="21" xfId="0" applyNumberFormat="1" applyFont="1" applyFill="1" applyBorder="1"/>
    <xf numFmtId="3" fontId="102" fillId="26" borderId="20" xfId="0" applyNumberFormat="1" applyFont="1" applyFill="1" applyBorder="1" applyAlignment="1">
      <alignment horizontal="center"/>
    </xf>
    <xf numFmtId="170" fontId="4" fillId="26" borderId="20" xfId="107" applyNumberFormat="1" applyFont="1" applyFill="1" applyBorder="1" applyAlignment="1">
      <alignment horizontal="center" vertical="center" wrapText="1"/>
    </xf>
    <xf numFmtId="166" fontId="4" fillId="26" borderId="20" xfId="107" applyFont="1" applyFill="1" applyBorder="1" applyAlignment="1">
      <alignment horizontal="center" vertical="center" wrapText="1"/>
    </xf>
    <xf numFmtId="3" fontId="103" fillId="26" borderId="20" xfId="0" applyNumberFormat="1" applyFont="1" applyFill="1" applyBorder="1" applyAlignment="1">
      <alignment vertical="center" wrapText="1"/>
    </xf>
    <xf numFmtId="0" fontId="103" fillId="26" borderId="20" xfId="208" applyNumberFormat="1" applyFont="1" applyFill="1" applyBorder="1" applyAlignment="1">
      <alignment horizontal="left" vertical="center" wrapText="1"/>
    </xf>
    <xf numFmtId="0" fontId="103" fillId="26" borderId="20" xfId="0" applyFont="1" applyFill="1" applyBorder="1" applyAlignment="1">
      <alignment horizontal="center" vertical="center" wrapText="1"/>
    </xf>
    <xf numFmtId="170" fontId="103" fillId="26" borderId="20" xfId="107" applyNumberFormat="1" applyFont="1" applyFill="1" applyBorder="1" applyAlignment="1">
      <alignment horizontal="center" vertical="center" wrapText="1"/>
    </xf>
    <xf numFmtId="166" fontId="103" fillId="26" borderId="0" xfId="107" applyFont="1" applyFill="1" applyAlignment="1">
      <alignment vertical="center"/>
    </xf>
    <xf numFmtId="0" fontId="4" fillId="26" borderId="10" xfId="0" applyFont="1" applyFill="1" applyBorder="1" applyAlignment="1">
      <alignment horizontal="center" vertical="center" wrapText="1"/>
    </xf>
    <xf numFmtId="3" fontId="102" fillId="26" borderId="20" xfId="0" applyNumberFormat="1" applyFont="1" applyFill="1" applyBorder="1" applyAlignment="1">
      <alignment horizontal="left"/>
    </xf>
    <xf numFmtId="3" fontId="102" fillId="26" borderId="20" xfId="0" applyNumberFormat="1" applyFont="1" applyFill="1" applyBorder="1" applyAlignment="1">
      <alignment vertical="center"/>
    </xf>
    <xf numFmtId="166" fontId="24" fillId="26" borderId="20" xfId="107" applyFont="1" applyFill="1" applyBorder="1" applyAlignment="1">
      <alignment horizontal="center" vertical="center" wrapText="1"/>
    </xf>
    <xf numFmtId="3" fontId="4" fillId="26" borderId="22" xfId="0" applyNumberFormat="1" applyFont="1" applyFill="1" applyBorder="1" applyAlignment="1">
      <alignment horizontal="center" vertical="center" wrapText="1"/>
    </xf>
    <xf numFmtId="3" fontId="104" fillId="26" borderId="20" xfId="0" applyNumberFormat="1" applyFont="1" applyFill="1" applyBorder="1"/>
    <xf numFmtId="3" fontId="104" fillId="26" borderId="20" xfId="0" applyNumberFormat="1" applyFont="1" applyFill="1" applyBorder="1" applyAlignment="1">
      <alignment vertical="center"/>
    </xf>
    <xf numFmtId="166" fontId="65" fillId="26" borderId="0" xfId="107" applyFont="1" applyFill="1" applyAlignment="1">
      <alignment vertical="center"/>
    </xf>
    <xf numFmtId="3" fontId="105" fillId="26" borderId="0" xfId="0" applyNumberFormat="1" applyFont="1" applyFill="1"/>
    <xf numFmtId="0" fontId="65" fillId="26" borderId="20" xfId="0" applyFont="1" applyFill="1" applyBorder="1" applyAlignment="1">
      <alignment horizontal="center" vertical="center" wrapText="1"/>
    </xf>
    <xf numFmtId="0" fontId="65" fillId="26" borderId="20" xfId="0" applyFont="1" applyFill="1" applyBorder="1" applyAlignment="1">
      <alignment horizontal="left" vertical="center" wrapText="1"/>
    </xf>
    <xf numFmtId="172" fontId="65" fillId="26" borderId="20" xfId="107" applyNumberFormat="1" applyFont="1" applyFill="1" applyBorder="1" applyAlignment="1">
      <alignment horizontal="center" vertical="center" wrapText="1"/>
    </xf>
    <xf numFmtId="170" fontId="65" fillId="26" borderId="20" xfId="107" applyNumberFormat="1" applyFont="1" applyFill="1" applyBorder="1" applyAlignment="1">
      <alignment horizontal="center" vertical="center" wrapText="1"/>
    </xf>
    <xf numFmtId="166" fontId="24" fillId="26" borderId="0" xfId="116" applyFont="1" applyFill="1" applyAlignment="1">
      <alignment horizontal="center"/>
    </xf>
    <xf numFmtId="166" fontId="24" fillId="26" borderId="0" xfId="116" applyFont="1" applyFill="1"/>
    <xf numFmtId="166" fontId="4" fillId="26" borderId="0" xfId="116" applyFont="1" applyFill="1" applyAlignment="1">
      <alignment horizontal="center"/>
    </xf>
    <xf numFmtId="166" fontId="4" fillId="26" borderId="0" xfId="116" applyFont="1" applyFill="1"/>
    <xf numFmtId="166" fontId="24" fillId="26" borderId="0" xfId="107" applyFont="1" applyFill="1" applyAlignment="1">
      <alignment horizontal="center"/>
    </xf>
    <xf numFmtId="0" fontId="65" fillId="26" borderId="22" xfId="0" applyFont="1" applyFill="1" applyBorder="1" applyAlignment="1">
      <alignment horizontal="center" vertical="center" wrapText="1"/>
    </xf>
    <xf numFmtId="204" fontId="65" fillId="26" borderId="20" xfId="120" applyNumberFormat="1" applyFont="1" applyFill="1" applyBorder="1" applyAlignment="1">
      <alignment horizontal="center" vertical="center" wrapText="1"/>
    </xf>
    <xf numFmtId="205" fontId="65" fillId="26" borderId="20" xfId="120" applyNumberFormat="1" applyFont="1" applyFill="1" applyBorder="1" applyAlignment="1">
      <alignment horizontal="center" vertical="center" wrapText="1"/>
    </xf>
    <xf numFmtId="0" fontId="65" fillId="26" borderId="22" xfId="0" applyFont="1" applyFill="1" applyBorder="1" applyAlignment="1">
      <alignment horizontal="left" vertical="center" wrapText="1"/>
    </xf>
    <xf numFmtId="0" fontId="105" fillId="26" borderId="20" xfId="0" applyFont="1" applyFill="1" applyBorder="1" applyAlignment="1">
      <alignment horizontal="center" vertical="center" wrapText="1"/>
    </xf>
    <xf numFmtId="3" fontId="103" fillId="26" borderId="20" xfId="0" applyNumberFormat="1" applyFont="1" applyFill="1" applyBorder="1" applyAlignment="1">
      <alignment horizontal="center" vertical="center"/>
    </xf>
    <xf numFmtId="3" fontId="106" fillId="26" borderId="20" xfId="0" applyNumberFormat="1" applyFont="1" applyFill="1" applyBorder="1" applyAlignment="1">
      <alignment horizontal="center" vertical="center" wrapText="1"/>
    </xf>
    <xf numFmtId="3" fontId="102" fillId="26" borderId="20" xfId="0" applyNumberFormat="1" applyFont="1" applyFill="1" applyBorder="1" applyAlignment="1">
      <alignment horizontal="left" vertical="center" wrapText="1"/>
    </xf>
    <xf numFmtId="3" fontId="103" fillId="26" borderId="20" xfId="0" applyNumberFormat="1" applyFont="1" applyFill="1" applyBorder="1" applyAlignment="1">
      <alignment vertical="center"/>
    </xf>
    <xf numFmtId="3" fontId="103" fillId="26" borderId="0" xfId="0" applyNumberFormat="1" applyFont="1" applyFill="1" applyAlignment="1">
      <alignment vertical="center"/>
    </xf>
    <xf numFmtId="0" fontId="102" fillId="26" borderId="20" xfId="208" applyNumberFormat="1" applyFont="1" applyFill="1" applyBorder="1" applyAlignment="1">
      <alignment horizontal="left" vertical="center" wrapText="1"/>
    </xf>
    <xf numFmtId="3" fontId="24" fillId="26" borderId="10" xfId="0" applyNumberFormat="1" applyFont="1" applyFill="1" applyBorder="1" applyAlignment="1">
      <alignment horizontal="center" vertical="center"/>
    </xf>
    <xf numFmtId="3" fontId="102" fillId="26" borderId="0" xfId="0" applyNumberFormat="1" applyFont="1" applyFill="1" applyAlignment="1">
      <alignment vertical="center"/>
    </xf>
    <xf numFmtId="3" fontId="102" fillId="26" borderId="20" xfId="0" applyNumberFormat="1" applyFont="1" applyFill="1" applyBorder="1" applyAlignment="1">
      <alignment horizontal="center" vertical="center" wrapText="1"/>
    </xf>
    <xf numFmtId="166" fontId="102" fillId="26" borderId="0" xfId="107" applyFont="1" applyFill="1"/>
    <xf numFmtId="3" fontId="103" fillId="26" borderId="20" xfId="0" applyNumberFormat="1" applyFont="1" applyFill="1" applyBorder="1"/>
    <xf numFmtId="3" fontId="103" fillId="26" borderId="20" xfId="0" applyNumberFormat="1" applyFont="1" applyFill="1" applyBorder="1" applyAlignment="1">
      <alignment horizontal="center"/>
    </xf>
    <xf numFmtId="166" fontId="103" fillId="26" borderId="0" xfId="107" applyFont="1" applyFill="1"/>
    <xf numFmtId="3" fontId="4" fillId="26" borderId="0" xfId="0" applyNumberFormat="1" applyFont="1" applyFill="1" applyBorder="1" applyAlignment="1">
      <alignment horizontal="center" vertical="center"/>
    </xf>
    <xf numFmtId="3" fontId="103" fillId="26" borderId="0" xfId="0" applyNumberFormat="1" applyFont="1" applyFill="1" applyBorder="1"/>
    <xf numFmtId="3" fontId="102" fillId="26" borderId="0" xfId="0" applyNumberFormat="1" applyFont="1" applyFill="1" applyBorder="1"/>
    <xf numFmtId="3" fontId="4" fillId="26" borderId="0" xfId="0" applyNumberFormat="1" applyFont="1" applyFill="1" applyBorder="1"/>
    <xf numFmtId="0" fontId="102" fillId="26" borderId="20" xfId="0" applyFont="1" applyFill="1" applyBorder="1" applyAlignment="1">
      <alignment horizontal="center" vertical="center" wrapText="1"/>
    </xf>
    <xf numFmtId="3" fontId="105" fillId="26" borderId="0" xfId="0" applyNumberFormat="1" applyFont="1" applyFill="1" applyBorder="1"/>
    <xf numFmtId="3" fontId="104" fillId="26" borderId="20" xfId="0" applyNumberFormat="1" applyFont="1" applyFill="1" applyBorder="1" applyAlignment="1">
      <alignment horizontal="center" vertical="center" wrapText="1"/>
    </xf>
    <xf numFmtId="3" fontId="104" fillId="26" borderId="20" xfId="0" applyNumberFormat="1" applyFont="1" applyFill="1" applyBorder="1" applyAlignment="1">
      <alignment horizontal="left" vertical="center" wrapText="1"/>
    </xf>
    <xf numFmtId="0" fontId="4" fillId="26" borderId="0" xfId="0" applyFont="1" applyFill="1" applyAlignment="1">
      <alignment horizontal="center" vertical="center"/>
    </xf>
    <xf numFmtId="3" fontId="4" fillId="26" borderId="0" xfId="0" applyNumberFormat="1" applyFont="1" applyFill="1" applyAlignment="1">
      <alignment horizontal="center"/>
    </xf>
    <xf numFmtId="3" fontId="24" fillId="26" borderId="0" xfId="0" applyNumberFormat="1" applyFont="1" applyFill="1" applyAlignment="1">
      <alignment horizontal="center"/>
    </xf>
    <xf numFmtId="3" fontId="24" fillId="26" borderId="10" xfId="0" applyNumberFormat="1" applyFont="1" applyFill="1" applyBorder="1" applyAlignment="1">
      <alignment horizontal="center" vertical="center" wrapText="1"/>
    </xf>
    <xf numFmtId="3" fontId="24" fillId="26" borderId="0" xfId="0" applyNumberFormat="1" applyFont="1" applyFill="1" applyAlignment="1">
      <alignment horizontal="center" vertical="center"/>
    </xf>
    <xf numFmtId="3" fontId="102" fillId="26" borderId="10" xfId="0" applyNumberFormat="1" applyFont="1" applyFill="1" applyBorder="1" applyAlignment="1">
      <alignment horizontal="center" vertical="center" wrapText="1"/>
    </xf>
    <xf numFmtId="3" fontId="102" fillId="26" borderId="10" xfId="0" applyNumberFormat="1" applyFont="1" applyFill="1" applyBorder="1" applyAlignment="1">
      <alignment vertical="center"/>
    </xf>
    <xf numFmtId="0" fontId="4" fillId="26" borderId="0" xfId="208" applyNumberFormat="1" applyFont="1" applyFill="1" applyBorder="1" applyAlignment="1">
      <alignment horizontal="center" vertical="center" wrapText="1"/>
    </xf>
    <xf numFmtId="166" fontId="102" fillId="26" borderId="20" xfId="107" applyFont="1" applyFill="1" applyBorder="1" applyAlignment="1">
      <alignment horizontal="center" vertical="center" wrapText="1"/>
    </xf>
    <xf numFmtId="166" fontId="102" fillId="26" borderId="0" xfId="107" applyFont="1" applyFill="1" applyAlignment="1">
      <alignment vertical="center"/>
    </xf>
    <xf numFmtId="0" fontId="103" fillId="26" borderId="10" xfId="208" applyNumberFormat="1" applyFont="1" applyFill="1" applyBorder="1" applyAlignment="1">
      <alignment horizontal="center" vertical="center" wrapText="1"/>
    </xf>
    <xf numFmtId="166" fontId="104" fillId="26" borderId="20" xfId="107" applyFont="1" applyFill="1" applyBorder="1" applyAlignment="1">
      <alignment vertical="center"/>
    </xf>
    <xf numFmtId="3" fontId="105" fillId="26" borderId="20" xfId="0" applyNumberFormat="1" applyFont="1" applyFill="1" applyBorder="1" applyAlignment="1">
      <alignment horizontal="center" vertical="center"/>
    </xf>
    <xf numFmtId="3" fontId="105" fillId="26" borderId="0" xfId="0" applyNumberFormat="1" applyFont="1" applyFill="1" applyAlignment="1">
      <alignment vertical="center"/>
    </xf>
    <xf numFmtId="3" fontId="24" fillId="26" borderId="22" xfId="0" applyNumberFormat="1" applyFont="1" applyFill="1" applyBorder="1" applyAlignment="1">
      <alignment vertical="center" wrapText="1"/>
    </xf>
    <xf numFmtId="3" fontId="4" fillId="26" borderId="22" xfId="0" applyNumberFormat="1" applyFont="1" applyFill="1" applyBorder="1" applyAlignment="1">
      <alignment vertical="center" wrapText="1"/>
    </xf>
    <xf numFmtId="1" fontId="4" fillId="26" borderId="22" xfId="218" quotePrefix="1" applyNumberFormat="1" applyFont="1" applyFill="1" applyBorder="1" applyAlignment="1">
      <alignment horizontal="center" vertical="center" wrapText="1"/>
    </xf>
    <xf numFmtId="170" fontId="4" fillId="26" borderId="22" xfId="107" quotePrefix="1" applyNumberFormat="1" applyFont="1" applyFill="1" applyBorder="1" applyAlignment="1">
      <alignment horizontal="center" vertical="center" wrapText="1"/>
    </xf>
    <xf numFmtId="3" fontId="103" fillId="26" borderId="22" xfId="0" applyNumberFormat="1" applyFont="1" applyFill="1" applyBorder="1" applyAlignment="1">
      <alignment horizontal="center" vertical="center"/>
    </xf>
    <xf numFmtId="170" fontId="3" fillId="26" borderId="22" xfId="107" applyNumberFormat="1" applyFont="1" applyFill="1" applyBorder="1" applyAlignment="1">
      <alignment horizontal="right" vertical="center" wrapText="1"/>
    </xf>
    <xf numFmtId="170" fontId="65" fillId="26" borderId="22" xfId="107" applyNumberFormat="1" applyFont="1" applyFill="1" applyBorder="1" applyAlignment="1">
      <alignment horizontal="center" vertical="center" wrapText="1"/>
    </xf>
    <xf numFmtId="3" fontId="104" fillId="26" borderId="22" xfId="0" applyNumberFormat="1" applyFont="1" applyFill="1" applyBorder="1"/>
    <xf numFmtId="166" fontId="4" fillId="26" borderId="22" xfId="107" applyFont="1" applyFill="1" applyBorder="1" applyAlignment="1">
      <alignment horizontal="center" vertical="center" wrapText="1"/>
    </xf>
    <xf numFmtId="170" fontId="4" fillId="26" borderId="22" xfId="107" applyNumberFormat="1" applyFont="1" applyFill="1" applyBorder="1" applyAlignment="1">
      <alignment horizontal="center" vertical="center" wrapText="1"/>
    </xf>
    <xf numFmtId="0" fontId="4" fillId="27" borderId="20" xfId="0" applyNumberFormat="1" applyFont="1" applyFill="1" applyBorder="1" applyAlignment="1">
      <alignment horizontal="center" vertical="center" wrapText="1"/>
    </xf>
    <xf numFmtId="0" fontId="4" fillId="27" borderId="20" xfId="208" applyNumberFormat="1" applyFont="1" applyFill="1" applyBorder="1" applyAlignment="1">
      <alignment horizontal="left" vertical="center" wrapText="1"/>
    </xf>
    <xf numFmtId="3" fontId="3" fillId="27" borderId="20" xfId="0" applyNumberFormat="1" applyFont="1" applyFill="1" applyBorder="1" applyAlignment="1">
      <alignment horizontal="center" vertical="center" wrapText="1"/>
    </xf>
    <xf numFmtId="3" fontId="103" fillId="27" borderId="20" xfId="0" applyNumberFormat="1" applyFont="1" applyFill="1" applyBorder="1" applyAlignment="1">
      <alignment horizontal="center" vertical="center" wrapText="1"/>
    </xf>
    <xf numFmtId="3" fontId="24" fillId="27" borderId="20" xfId="0" applyNumberFormat="1" applyFont="1" applyFill="1" applyBorder="1" applyAlignment="1">
      <alignment vertical="center" wrapText="1"/>
    </xf>
    <xf numFmtId="3" fontId="4" fillId="27" borderId="20" xfId="0" applyNumberFormat="1" applyFont="1" applyFill="1" applyBorder="1" applyAlignment="1">
      <alignment vertical="center" wrapText="1"/>
    </xf>
    <xf numFmtId="3" fontId="4" fillId="27" borderId="20" xfId="0" applyNumberFormat="1" applyFont="1" applyFill="1" applyBorder="1" applyAlignment="1">
      <alignment horizontal="center" vertical="center" wrapText="1"/>
    </xf>
    <xf numFmtId="1" fontId="4" fillId="27" borderId="20" xfId="218" quotePrefix="1" applyNumberFormat="1" applyFont="1" applyFill="1" applyBorder="1" applyAlignment="1">
      <alignment horizontal="center" vertical="center" wrapText="1"/>
    </xf>
    <xf numFmtId="170" fontId="4" fillId="27" borderId="20" xfId="107" quotePrefix="1" applyNumberFormat="1" applyFont="1" applyFill="1" applyBorder="1" applyAlignment="1">
      <alignment horizontal="center" vertical="center" wrapText="1"/>
    </xf>
    <xf numFmtId="0" fontId="4" fillId="27" borderId="20" xfId="0" applyFont="1" applyFill="1" applyBorder="1" applyAlignment="1">
      <alignment horizontal="center" vertical="center" wrapText="1"/>
    </xf>
    <xf numFmtId="170" fontId="3" fillId="27" borderId="20" xfId="107" applyNumberFormat="1" applyFont="1" applyFill="1" applyBorder="1" applyAlignment="1">
      <alignment horizontal="right" vertical="center" wrapText="1"/>
    </xf>
    <xf numFmtId="170" fontId="4" fillId="27" borderId="20" xfId="107" applyNumberFormat="1" applyFont="1" applyFill="1" applyBorder="1" applyAlignment="1">
      <alignment horizontal="center" vertical="center" wrapText="1"/>
    </xf>
    <xf numFmtId="166" fontId="4" fillId="27" borderId="20" xfId="107" applyFont="1" applyFill="1" applyBorder="1" applyAlignment="1">
      <alignment horizontal="center" vertical="center" wrapText="1"/>
    </xf>
    <xf numFmtId="3" fontId="4" fillId="27" borderId="20" xfId="208" applyNumberFormat="1" applyFont="1" applyFill="1" applyBorder="1" applyAlignment="1">
      <alignment horizontal="center" vertical="center" wrapText="1"/>
    </xf>
    <xf numFmtId="166" fontId="4" fillId="27" borderId="0" xfId="107" applyFont="1" applyFill="1" applyAlignment="1">
      <alignment vertical="center"/>
    </xf>
    <xf numFmtId="3" fontId="4" fillId="27" borderId="0" xfId="0" applyNumberFormat="1" applyFont="1" applyFill="1"/>
    <xf numFmtId="3" fontId="3" fillId="27" borderId="10" xfId="0" applyNumberFormat="1" applyFont="1" applyFill="1" applyBorder="1" applyAlignment="1">
      <alignment horizontal="center" vertical="center" wrapText="1"/>
    </xf>
    <xf numFmtId="0" fontId="4" fillId="27" borderId="20" xfId="0" applyNumberFormat="1" applyFont="1" applyFill="1" applyBorder="1" applyAlignment="1">
      <alignment horizontal="left" vertical="center" wrapText="1"/>
    </xf>
    <xf numFmtId="1" fontId="103" fillId="27" borderId="20" xfId="218" quotePrefix="1" applyNumberFormat="1" applyFont="1" applyFill="1" applyBorder="1" applyAlignment="1">
      <alignment horizontal="center" vertical="center" wrapText="1"/>
    </xf>
    <xf numFmtId="170" fontId="103" fillId="27" borderId="20" xfId="107" applyNumberFormat="1" applyFont="1" applyFill="1" applyBorder="1" applyAlignment="1">
      <alignment horizontal="right" vertical="center" wrapText="1"/>
    </xf>
    <xf numFmtId="169" fontId="4" fillId="26" borderId="20" xfId="107" applyNumberFormat="1" applyFont="1" applyFill="1" applyBorder="1" applyAlignment="1">
      <alignment horizontal="center" vertical="center" wrapText="1"/>
    </xf>
    <xf numFmtId="169" fontId="4" fillId="27" borderId="20" xfId="107" applyNumberFormat="1" applyFont="1" applyFill="1" applyBorder="1" applyAlignment="1">
      <alignment horizontal="center" vertical="center" wrapText="1"/>
    </xf>
    <xf numFmtId="3" fontId="4" fillId="26" borderId="0" xfId="0" applyNumberFormat="1" applyFont="1" applyFill="1" applyAlignment="1">
      <alignment horizontal="center"/>
    </xf>
    <xf numFmtId="170" fontId="4" fillId="26" borderId="0" xfId="107" applyNumberFormat="1" applyFont="1" applyFill="1" applyAlignment="1">
      <alignment horizontal="center" vertical="center"/>
    </xf>
    <xf numFmtId="3" fontId="4" fillId="26" borderId="0" xfId="0" applyNumberFormat="1" applyFont="1" applyFill="1" applyAlignment="1">
      <alignment horizontal="center"/>
    </xf>
    <xf numFmtId="170" fontId="4" fillId="26" borderId="0" xfId="107" applyNumberFormat="1" applyFont="1" applyFill="1" applyAlignment="1">
      <alignment horizontal="center" vertical="center"/>
    </xf>
    <xf numFmtId="3" fontId="103" fillId="26" borderId="22" xfId="0" applyNumberFormat="1" applyFont="1" applyFill="1" applyBorder="1" applyAlignment="1">
      <alignment horizontal="center" vertical="center" wrapText="1"/>
    </xf>
    <xf numFmtId="0" fontId="4" fillId="27" borderId="0" xfId="208" applyNumberFormat="1" applyFont="1" applyFill="1" applyBorder="1" applyAlignment="1">
      <alignment horizontal="center" vertical="center" wrapText="1"/>
    </xf>
    <xf numFmtId="0" fontId="103" fillId="26" borderId="0" xfId="208" applyNumberFormat="1" applyFont="1" applyFill="1" applyBorder="1" applyAlignment="1">
      <alignment horizontal="center" vertical="center" wrapText="1"/>
    </xf>
    <xf numFmtId="0" fontId="102" fillId="26" borderId="0" xfId="208" applyNumberFormat="1" applyFont="1" applyFill="1" applyBorder="1" applyAlignment="1">
      <alignment horizontal="center" vertical="center" wrapText="1"/>
    </xf>
    <xf numFmtId="3" fontId="65" fillId="26" borderId="20" xfId="206" quotePrefix="1" applyNumberFormat="1" applyFont="1" applyFill="1" applyBorder="1" applyAlignment="1">
      <alignment horizontal="left" vertical="center" wrapText="1"/>
    </xf>
    <xf numFmtId="0" fontId="65" fillId="26" borderId="20" xfId="0" quotePrefix="1" applyFont="1" applyFill="1" applyBorder="1" applyAlignment="1">
      <alignment horizontal="left" vertical="center" wrapText="1"/>
    </xf>
    <xf numFmtId="0" fontId="102" fillId="0" borderId="20" xfId="183" applyFont="1" applyBorder="1" applyAlignment="1">
      <alignment horizontal="center" vertical="center" wrapText="1"/>
    </xf>
    <xf numFmtId="0" fontId="102" fillId="0" borderId="20" xfId="183" applyFont="1" applyBorder="1" applyAlignment="1">
      <alignment horizontal="left" vertical="center" wrapText="1"/>
    </xf>
    <xf numFmtId="1" fontId="102" fillId="26" borderId="20" xfId="218" quotePrefix="1" applyNumberFormat="1" applyFont="1" applyFill="1" applyBorder="1" applyAlignment="1">
      <alignment horizontal="center" vertical="center" wrapText="1"/>
    </xf>
    <xf numFmtId="170" fontId="102" fillId="26" borderId="20" xfId="107" applyNumberFormat="1" applyFont="1" applyFill="1" applyBorder="1" applyAlignment="1">
      <alignment horizontal="center" vertical="center" wrapText="1"/>
    </xf>
    <xf numFmtId="3" fontId="102" fillId="26" borderId="20" xfId="0" applyNumberFormat="1" applyFont="1" applyFill="1" applyBorder="1" applyAlignment="1">
      <alignment vertical="center" wrapText="1"/>
    </xf>
    <xf numFmtId="3" fontId="4" fillId="27" borderId="0" xfId="0" applyNumberFormat="1" applyFont="1" applyFill="1" applyBorder="1"/>
    <xf numFmtId="3" fontId="4" fillId="27" borderId="0" xfId="0" applyNumberFormat="1" applyFont="1" applyFill="1" applyBorder="1" applyAlignment="1">
      <alignment horizontal="center" vertical="center"/>
    </xf>
    <xf numFmtId="3" fontId="3" fillId="27" borderId="0" xfId="0" applyNumberFormat="1" applyFont="1" applyFill="1" applyBorder="1" applyAlignment="1">
      <alignment horizontal="center" vertical="center" wrapText="1"/>
    </xf>
    <xf numFmtId="3" fontId="102" fillId="26" borderId="0" xfId="0" applyNumberFormat="1" applyFont="1" applyFill="1" applyBorder="1" applyAlignment="1">
      <alignment vertical="center"/>
    </xf>
    <xf numFmtId="3" fontId="105" fillId="26" borderId="0" xfId="0" applyNumberFormat="1" applyFont="1" applyFill="1" applyBorder="1" applyAlignment="1">
      <alignment vertical="center"/>
    </xf>
    <xf numFmtId="166" fontId="4" fillId="27" borderId="23" xfId="107" applyFont="1" applyFill="1" applyBorder="1" applyAlignment="1">
      <alignment vertical="center"/>
    </xf>
    <xf numFmtId="166" fontId="4" fillId="26" borderId="23" xfId="107" applyFont="1" applyFill="1" applyBorder="1" applyAlignment="1">
      <alignment vertical="center"/>
    </xf>
    <xf numFmtId="166" fontId="65" fillId="26" borderId="23" xfId="107" applyFont="1" applyFill="1" applyBorder="1" applyAlignment="1">
      <alignment vertical="center"/>
    </xf>
    <xf numFmtId="166" fontId="103" fillId="26" borderId="23" xfId="107" applyFont="1" applyFill="1" applyBorder="1" applyAlignment="1">
      <alignment vertical="center"/>
    </xf>
    <xf numFmtId="0" fontId="4" fillId="26" borderId="20" xfId="184" applyFont="1" applyFill="1" applyBorder="1" applyAlignment="1">
      <alignment horizontal="center" vertical="center" wrapText="1"/>
    </xf>
    <xf numFmtId="0" fontId="4" fillId="26" borderId="20" xfId="184" applyFont="1" applyFill="1" applyBorder="1" applyAlignment="1">
      <alignment horizontal="left" vertical="center" wrapText="1"/>
    </xf>
    <xf numFmtId="0" fontId="107" fillId="26" borderId="20" xfId="0" applyFont="1" applyFill="1" applyBorder="1" applyAlignment="1">
      <alignment horizontal="left" vertical="center" wrapText="1"/>
    </xf>
    <xf numFmtId="3" fontId="103" fillId="26" borderId="0" xfId="0" applyNumberFormat="1" applyFont="1" applyFill="1" applyBorder="1" applyAlignment="1">
      <alignment vertical="center"/>
    </xf>
    <xf numFmtId="0" fontId="65" fillId="27" borderId="20" xfId="0" applyFont="1" applyFill="1" applyBorder="1" applyAlignment="1">
      <alignment horizontal="center" vertical="center" wrapText="1"/>
    </xf>
    <xf numFmtId="3" fontId="65" fillId="27" borderId="20" xfId="206" quotePrefix="1" applyNumberFormat="1" applyFont="1" applyFill="1" applyBorder="1" applyAlignment="1">
      <alignment horizontal="left" vertical="center" wrapText="1"/>
    </xf>
    <xf numFmtId="172" fontId="65" fillId="27" borderId="20" xfId="107" applyNumberFormat="1" applyFont="1" applyFill="1" applyBorder="1" applyAlignment="1">
      <alignment horizontal="center" vertical="center" wrapText="1"/>
    </xf>
    <xf numFmtId="3" fontId="64" fillId="27" borderId="20" xfId="0" applyNumberFormat="1" applyFont="1" applyFill="1" applyBorder="1" applyAlignment="1">
      <alignment vertical="center" wrapText="1"/>
    </xf>
    <xf numFmtId="3" fontId="65" fillId="27" borderId="20" xfId="0" applyNumberFormat="1" applyFont="1" applyFill="1" applyBorder="1" applyAlignment="1">
      <alignment vertical="center" wrapText="1"/>
    </xf>
    <xf numFmtId="3" fontId="65" fillId="27" borderId="20" xfId="0" applyNumberFormat="1" applyFont="1" applyFill="1" applyBorder="1" applyAlignment="1">
      <alignment horizontal="center" vertical="center" wrapText="1"/>
    </xf>
    <xf numFmtId="1" fontId="65" fillId="27" borderId="20" xfId="218" quotePrefix="1" applyNumberFormat="1" applyFont="1" applyFill="1" applyBorder="1" applyAlignment="1">
      <alignment horizontal="center" vertical="center" wrapText="1"/>
    </xf>
    <xf numFmtId="3" fontId="105" fillId="27" borderId="20" xfId="0" applyNumberFormat="1" applyFont="1" applyFill="1" applyBorder="1" applyAlignment="1">
      <alignment horizontal="center" vertical="center"/>
    </xf>
    <xf numFmtId="3" fontId="65" fillId="27" borderId="20" xfId="0" applyNumberFormat="1" applyFont="1" applyFill="1" applyBorder="1" applyAlignment="1">
      <alignment horizontal="right" vertical="center" wrapText="1"/>
    </xf>
    <xf numFmtId="3" fontId="104" fillId="27" borderId="20" xfId="0" applyNumberFormat="1" applyFont="1" applyFill="1" applyBorder="1"/>
    <xf numFmtId="170" fontId="65" fillId="27" borderId="20" xfId="107" applyNumberFormat="1" applyFont="1" applyFill="1" applyBorder="1" applyAlignment="1">
      <alignment horizontal="center" vertical="center" wrapText="1"/>
    </xf>
    <xf numFmtId="0" fontId="105" fillId="27" borderId="20" xfId="0" applyFont="1" applyFill="1" applyBorder="1" applyAlignment="1">
      <alignment horizontal="center" vertical="center" wrapText="1"/>
    </xf>
    <xf numFmtId="166" fontId="65" fillId="27" borderId="0" xfId="107" applyFont="1" applyFill="1" applyAlignment="1">
      <alignment vertical="center"/>
    </xf>
    <xf numFmtId="3" fontId="105" fillId="27" borderId="0" xfId="0" applyNumberFormat="1" applyFont="1" applyFill="1"/>
    <xf numFmtId="0" fontId="65" fillId="27" borderId="20" xfId="0" quotePrefix="1" applyFont="1" applyFill="1" applyBorder="1" applyAlignment="1">
      <alignment horizontal="left" vertical="center" wrapText="1"/>
    </xf>
    <xf numFmtId="3" fontId="65" fillId="27" borderId="20" xfId="0" applyNumberFormat="1" applyFont="1" applyFill="1" applyBorder="1" applyAlignment="1">
      <alignment horizontal="right" vertical="center"/>
    </xf>
    <xf numFmtId="3" fontId="65" fillId="27" borderId="20" xfId="0" quotePrefix="1" applyNumberFormat="1" applyFont="1" applyFill="1" applyBorder="1" applyAlignment="1">
      <alignment vertical="center" wrapText="1"/>
    </xf>
    <xf numFmtId="0" fontId="4" fillId="27" borderId="20" xfId="184" applyFont="1" applyFill="1" applyBorder="1" applyAlignment="1">
      <alignment horizontal="center" vertical="center" wrapText="1"/>
    </xf>
    <xf numFmtId="0" fontId="4" fillId="27" borderId="20" xfId="184" applyFont="1" applyFill="1" applyBorder="1" applyAlignment="1">
      <alignment horizontal="left" vertical="center" wrapText="1"/>
    </xf>
    <xf numFmtId="3" fontId="103" fillId="27" borderId="20" xfId="0" applyNumberFormat="1" applyFont="1" applyFill="1" applyBorder="1" applyAlignment="1">
      <alignment horizontal="center" vertical="center"/>
    </xf>
    <xf numFmtId="209" fontId="4" fillId="27" borderId="20" xfId="114" applyNumberFormat="1" applyFont="1" applyFill="1" applyBorder="1" applyAlignment="1" applyProtection="1">
      <alignment horizontal="center" vertical="center" wrapText="1"/>
    </xf>
    <xf numFmtId="3" fontId="102" fillId="27" borderId="20" xfId="0" applyNumberFormat="1" applyFont="1" applyFill="1" applyBorder="1"/>
    <xf numFmtId="3" fontId="103" fillId="27" borderId="0" xfId="0" applyNumberFormat="1" applyFont="1" applyFill="1"/>
    <xf numFmtId="1" fontId="103" fillId="26" borderId="20" xfId="218" quotePrefix="1" applyNumberFormat="1" applyFont="1" applyFill="1" applyBorder="1" applyAlignment="1">
      <alignment horizontal="center" vertical="center" wrapText="1"/>
    </xf>
    <xf numFmtId="169" fontId="103" fillId="26" borderId="20" xfId="107" applyNumberFormat="1" applyFont="1" applyFill="1" applyBorder="1" applyAlignment="1">
      <alignment horizontal="center" vertical="center" wrapText="1"/>
    </xf>
    <xf numFmtId="0" fontId="105" fillId="26" borderId="20" xfId="0" applyFont="1" applyFill="1" applyBorder="1" applyAlignment="1">
      <alignment horizontal="left" vertical="center" wrapText="1"/>
    </xf>
    <xf numFmtId="3" fontId="105" fillId="26" borderId="20" xfId="0" applyNumberFormat="1" applyFont="1" applyFill="1" applyBorder="1" applyAlignment="1">
      <alignment horizontal="center" vertical="center" wrapText="1"/>
    </xf>
    <xf numFmtId="3" fontId="105" fillId="26" borderId="20" xfId="0" applyNumberFormat="1" applyFont="1" applyFill="1" applyBorder="1" applyAlignment="1">
      <alignment vertical="center" wrapText="1"/>
    </xf>
    <xf numFmtId="170" fontId="105" fillId="26" borderId="20" xfId="107" applyNumberFormat="1" applyFont="1" applyFill="1" applyBorder="1" applyAlignment="1">
      <alignment horizontal="right" vertical="center" wrapText="1"/>
    </xf>
    <xf numFmtId="170" fontId="105" fillId="26" borderId="20" xfId="107" applyNumberFormat="1" applyFont="1" applyFill="1" applyBorder="1" applyAlignment="1">
      <alignment horizontal="center" vertical="center" wrapText="1"/>
    </xf>
    <xf numFmtId="166" fontId="105" fillId="26" borderId="20" xfId="107" applyFont="1" applyFill="1" applyBorder="1" applyAlignment="1">
      <alignment horizontal="center" vertical="center" wrapText="1"/>
    </xf>
    <xf numFmtId="166" fontId="105" fillId="26" borderId="0" xfId="107" applyFont="1" applyFill="1" applyAlignment="1">
      <alignment vertical="center"/>
    </xf>
    <xf numFmtId="0" fontId="105" fillId="26" borderId="10" xfId="208" applyNumberFormat="1" applyFont="1" applyFill="1" applyBorder="1" applyAlignment="1">
      <alignment horizontal="center" vertical="center" wrapText="1"/>
    </xf>
    <xf numFmtId="3" fontId="64" fillId="26" borderId="20" xfId="0" applyNumberFormat="1" applyFont="1" applyFill="1" applyBorder="1" applyAlignment="1">
      <alignment vertical="center" wrapText="1"/>
    </xf>
    <xf numFmtId="3" fontId="65" fillId="26" borderId="20" xfId="0" applyNumberFormat="1" applyFont="1" applyFill="1" applyBorder="1" applyAlignment="1">
      <alignment vertical="center" wrapText="1"/>
    </xf>
    <xf numFmtId="3" fontId="65" fillId="26" borderId="20" xfId="0" applyNumberFormat="1" applyFont="1" applyFill="1" applyBorder="1" applyAlignment="1">
      <alignment horizontal="center" vertical="center"/>
    </xf>
    <xf numFmtId="170" fontId="65" fillId="26" borderId="20" xfId="107" applyNumberFormat="1" applyFont="1" applyFill="1" applyBorder="1" applyAlignment="1">
      <alignment horizontal="right" vertical="center" wrapText="1"/>
    </xf>
    <xf numFmtId="3" fontId="64" fillId="26" borderId="20" xfId="0" applyNumberFormat="1" applyFont="1" applyFill="1" applyBorder="1"/>
    <xf numFmtId="166" fontId="65" fillId="26" borderId="20" xfId="107" applyFont="1" applyFill="1" applyBorder="1" applyAlignment="1">
      <alignment horizontal="center" vertical="center" wrapText="1"/>
    </xf>
    <xf numFmtId="0" fontId="65" fillId="26" borderId="10" xfId="208" applyNumberFormat="1" applyFont="1" applyFill="1" applyBorder="1" applyAlignment="1">
      <alignment horizontal="center" vertical="center" wrapText="1"/>
    </xf>
    <xf numFmtId="3" fontId="65" fillId="26" borderId="0" xfId="0" applyNumberFormat="1" applyFont="1" applyFill="1"/>
    <xf numFmtId="3" fontId="104" fillId="26" borderId="20" xfId="0" applyNumberFormat="1" applyFont="1" applyFill="1" applyBorder="1" applyAlignment="1">
      <alignment vertical="center" wrapText="1"/>
    </xf>
    <xf numFmtId="0" fontId="25" fillId="27" borderId="20" xfId="184" applyFont="1" applyFill="1" applyBorder="1" applyAlignment="1">
      <alignment horizontal="center" vertical="center" wrapText="1"/>
    </xf>
    <xf numFmtId="0" fontId="25" fillId="27" borderId="20" xfId="184" applyFont="1" applyFill="1" applyBorder="1" applyAlignment="1">
      <alignment horizontal="left" vertical="center" wrapText="1"/>
    </xf>
    <xf numFmtId="0" fontId="25" fillId="27" borderId="20" xfId="0" applyFont="1" applyFill="1" applyBorder="1" applyAlignment="1">
      <alignment horizontal="center" vertical="center" wrapText="1"/>
    </xf>
    <xf numFmtId="3" fontId="108" fillId="27" borderId="20" xfId="0" applyNumberFormat="1" applyFont="1" applyFill="1" applyBorder="1" applyAlignment="1">
      <alignment horizontal="center" vertical="center" wrapText="1"/>
    </xf>
    <xf numFmtId="3" fontId="28" fillId="27" borderId="20" xfId="0" applyNumberFormat="1" applyFont="1" applyFill="1" applyBorder="1" applyAlignment="1">
      <alignment vertical="center" wrapText="1"/>
    </xf>
    <xf numFmtId="3" fontId="25" fillId="27" borderId="20" xfId="0" applyNumberFormat="1" applyFont="1" applyFill="1" applyBorder="1" applyAlignment="1">
      <alignment vertical="center" wrapText="1"/>
    </xf>
    <xf numFmtId="3" fontId="25" fillId="27" borderId="20" xfId="0" applyNumberFormat="1" applyFont="1" applyFill="1" applyBorder="1" applyAlignment="1">
      <alignment horizontal="center" vertical="center" wrapText="1"/>
    </xf>
    <xf numFmtId="3" fontId="108" fillId="27" borderId="20" xfId="0" applyNumberFormat="1" applyFont="1" applyFill="1" applyBorder="1" applyAlignment="1">
      <alignment horizontal="center" vertical="center"/>
    </xf>
    <xf numFmtId="170" fontId="70" fillId="27" borderId="20" xfId="107" applyNumberFormat="1" applyFont="1" applyFill="1" applyBorder="1" applyAlignment="1">
      <alignment horizontal="right" vertical="center" wrapText="1"/>
    </xf>
    <xf numFmtId="209" fontId="25" fillId="27" borderId="20" xfId="114" applyNumberFormat="1" applyFont="1" applyFill="1" applyBorder="1" applyAlignment="1" applyProtection="1">
      <alignment horizontal="center" vertical="center" wrapText="1"/>
    </xf>
    <xf numFmtId="3" fontId="109" fillId="27" borderId="20" xfId="0" applyNumberFormat="1" applyFont="1" applyFill="1" applyBorder="1"/>
    <xf numFmtId="170" fontId="25" fillId="27" borderId="20" xfId="107" applyNumberFormat="1" applyFont="1" applyFill="1" applyBorder="1" applyAlignment="1">
      <alignment horizontal="center" vertical="center" wrapText="1"/>
    </xf>
    <xf numFmtId="166" fontId="25" fillId="27" borderId="0" xfId="107" applyFont="1" applyFill="1" applyAlignment="1">
      <alignment vertical="center"/>
    </xf>
    <xf numFmtId="3" fontId="70" fillId="27" borderId="0" xfId="0" applyNumberFormat="1" applyFont="1" applyFill="1" applyBorder="1" applyAlignment="1">
      <alignment horizontal="center" vertical="center" wrapText="1"/>
    </xf>
    <xf numFmtId="3" fontId="108" fillId="27" borderId="0" xfId="0" applyNumberFormat="1" applyFont="1" applyFill="1"/>
    <xf numFmtId="3" fontId="71" fillId="26" borderId="10" xfId="0" applyNumberFormat="1" applyFont="1" applyFill="1" applyBorder="1" applyAlignment="1">
      <alignment horizontal="center" vertical="center" wrapText="1"/>
    </xf>
    <xf numFmtId="3" fontId="3" fillId="28" borderId="10" xfId="0" applyNumberFormat="1" applyFont="1" applyFill="1" applyBorder="1" applyAlignment="1">
      <alignment horizontal="center" vertical="center" wrapText="1"/>
    </xf>
    <xf numFmtId="170" fontId="3" fillId="28" borderId="20" xfId="107" applyNumberFormat="1" applyFont="1" applyFill="1" applyBorder="1" applyAlignment="1">
      <alignment horizontal="right" vertical="center" wrapText="1"/>
    </xf>
    <xf numFmtId="3" fontId="3" fillId="28" borderId="20" xfId="0" applyNumberFormat="1" applyFont="1" applyFill="1" applyBorder="1" applyAlignment="1">
      <alignment horizontal="right" vertical="center" wrapText="1"/>
    </xf>
    <xf numFmtId="170" fontId="110" fillId="28" borderId="20" xfId="107" applyNumberFormat="1" applyFont="1" applyFill="1" applyBorder="1" applyAlignment="1">
      <alignment horizontal="right" vertical="center" wrapText="1"/>
    </xf>
    <xf numFmtId="0" fontId="74" fillId="0" borderId="0" xfId="0" applyFont="1" applyAlignment="1">
      <alignment horizontal="center" wrapText="1"/>
    </xf>
    <xf numFmtId="0" fontId="27" fillId="0" borderId="0" xfId="0" applyFont="1" applyAlignment="1">
      <alignment horizontal="center" vertical="center" wrapText="1"/>
    </xf>
    <xf numFmtId="0" fontId="27" fillId="0" borderId="0" xfId="0" applyFont="1" applyAlignment="1">
      <alignment horizontal="center" wrapText="1"/>
    </xf>
    <xf numFmtId="0" fontId="27" fillId="26" borderId="0" xfId="0" applyFont="1" applyFill="1" applyAlignment="1">
      <alignment horizontal="center" wrapText="1"/>
    </xf>
    <xf numFmtId="0" fontId="27" fillId="0" borderId="0" xfId="0" applyFont="1" applyAlignment="1">
      <alignment vertical="center" wrapText="1"/>
    </xf>
    <xf numFmtId="0" fontId="75" fillId="0" borderId="0" xfId="0" applyFont="1" applyAlignment="1">
      <alignment horizontal="center" wrapText="1"/>
    </xf>
    <xf numFmtId="0" fontId="75" fillId="26" borderId="0" xfId="0" applyFont="1" applyFill="1" applyAlignment="1">
      <alignment horizontal="center" wrapText="1"/>
    </xf>
    <xf numFmtId="0" fontId="66" fillId="0" borderId="0" xfId="0" applyFont="1" applyAlignment="1">
      <alignment vertical="center" wrapText="1"/>
    </xf>
    <xf numFmtId="0" fontId="66" fillId="0" borderId="0" xfId="0" applyFont="1" applyAlignment="1">
      <alignment horizontal="center" vertical="center" wrapText="1"/>
    </xf>
    <xf numFmtId="0" fontId="72" fillId="0" borderId="10" xfId="0" applyFont="1" applyBorder="1" applyAlignment="1">
      <alignment horizontal="center" vertical="center" wrapText="1"/>
    </xf>
    <xf numFmtId="0" fontId="24" fillId="0" borderId="10" xfId="0" applyFont="1" applyBorder="1" applyAlignment="1">
      <alignment horizontal="center" vertical="center" wrapText="1"/>
    </xf>
    <xf numFmtId="3" fontId="72" fillId="0" borderId="10" xfId="0" applyNumberFormat="1" applyFont="1" applyBorder="1" applyAlignment="1">
      <alignment horizontal="center" vertical="center" wrapText="1"/>
    </xf>
    <xf numFmtId="3" fontId="72" fillId="0" borderId="10" xfId="0" applyNumberFormat="1" applyFont="1" applyBorder="1" applyAlignment="1">
      <alignment vertical="center" wrapText="1"/>
    </xf>
    <xf numFmtId="3" fontId="72" fillId="0" borderId="10" xfId="0" applyNumberFormat="1" applyFont="1" applyFill="1" applyBorder="1" applyAlignment="1">
      <alignment vertical="center" wrapText="1"/>
    </xf>
    <xf numFmtId="0" fontId="77" fillId="0" borderId="0" xfId="0" applyFont="1" applyAlignment="1">
      <alignment vertical="center" wrapText="1"/>
    </xf>
    <xf numFmtId="183" fontId="66" fillId="0" borderId="0" xfId="0" applyNumberFormat="1" applyFont="1" applyAlignment="1">
      <alignment vertical="center" wrapText="1"/>
    </xf>
    <xf numFmtId="0" fontId="67" fillId="0" borderId="0" xfId="0" applyFont="1" applyAlignment="1">
      <alignment vertical="center" wrapText="1"/>
    </xf>
    <xf numFmtId="183" fontId="27" fillId="0" borderId="0" xfId="0" applyNumberFormat="1" applyFont="1" applyAlignment="1">
      <alignment vertical="center" wrapText="1"/>
    </xf>
    <xf numFmtId="0" fontId="4" fillId="26" borderId="20" xfId="208" applyNumberFormat="1" applyFont="1" applyFill="1" applyBorder="1" applyAlignment="1">
      <alignment horizontal="center" vertical="center" wrapText="1"/>
    </xf>
    <xf numFmtId="0" fontId="111" fillId="26" borderId="20" xfId="208" quotePrefix="1" applyNumberFormat="1" applyFont="1" applyFill="1" applyBorder="1" applyAlignment="1">
      <alignment horizontal="center" vertical="center" wrapText="1"/>
    </xf>
    <xf numFmtId="3" fontId="72" fillId="0" borderId="10" xfId="0" applyNumberFormat="1" applyFont="1" applyFill="1" applyBorder="1" applyAlignment="1">
      <alignment horizontal="center" vertical="center" wrapText="1"/>
    </xf>
    <xf numFmtId="0" fontId="112" fillId="0" borderId="0" xfId="0" applyFont="1" applyAlignment="1">
      <alignment vertical="center" wrapText="1"/>
    </xf>
    <xf numFmtId="183" fontId="113" fillId="0" borderId="0" xfId="0" applyNumberFormat="1" applyFont="1" applyAlignment="1">
      <alignment vertical="center" wrapText="1"/>
    </xf>
    <xf numFmtId="0" fontId="113" fillId="0" borderId="0" xfId="0" applyFont="1" applyAlignment="1">
      <alignment vertical="center" wrapText="1"/>
    </xf>
    <xf numFmtId="183" fontId="114" fillId="0" borderId="0" xfId="0" applyNumberFormat="1" applyFont="1" applyAlignment="1">
      <alignment vertical="center" wrapText="1"/>
    </xf>
    <xf numFmtId="0" fontId="114" fillId="0" borderId="0" xfId="0" applyFont="1" applyAlignment="1">
      <alignment vertical="center" wrapText="1"/>
    </xf>
    <xf numFmtId="183" fontId="112" fillId="0" borderId="0" xfId="0" applyNumberFormat="1" applyFont="1" applyAlignment="1">
      <alignment vertical="center" wrapText="1"/>
    </xf>
    <xf numFmtId="0" fontId="24" fillId="0" borderId="0" xfId="0" applyFont="1" applyAlignment="1">
      <alignment vertical="center" wrapText="1"/>
    </xf>
    <xf numFmtId="0" fontId="2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26" borderId="0" xfId="0" applyFont="1" applyFill="1" applyAlignment="1">
      <alignment vertical="center" wrapText="1"/>
    </xf>
    <xf numFmtId="0" fontId="4" fillId="0" borderId="0" xfId="0" applyFont="1" applyAlignment="1">
      <alignment wrapText="1"/>
    </xf>
    <xf numFmtId="0" fontId="4" fillId="0" borderId="0" xfId="0" applyFont="1" applyAlignment="1">
      <alignment horizontal="center" wrapText="1"/>
    </xf>
    <xf numFmtId="3" fontId="102" fillId="0" borderId="21" xfId="0" applyNumberFormat="1" applyFont="1" applyBorder="1" applyAlignment="1">
      <alignment horizontal="center" vertical="center" wrapText="1"/>
    </xf>
    <xf numFmtId="0" fontId="102" fillId="0" borderId="21" xfId="0" applyFont="1" applyBorder="1" applyAlignment="1">
      <alignment vertical="center" wrapText="1"/>
    </xf>
    <xf numFmtId="170" fontId="102" fillId="0" borderId="21" xfId="107" applyNumberFormat="1" applyFont="1" applyBorder="1" applyAlignment="1">
      <alignment horizontal="center" vertical="center" wrapText="1"/>
    </xf>
    <xf numFmtId="3" fontId="102" fillId="0" borderId="21" xfId="0" applyNumberFormat="1" applyFont="1" applyBorder="1" applyAlignment="1">
      <alignment vertical="center" wrapText="1"/>
    </xf>
    <xf numFmtId="9" fontId="103" fillId="0" borderId="21" xfId="0" applyNumberFormat="1" applyFont="1" applyBorder="1" applyAlignment="1">
      <alignment vertical="center" wrapText="1"/>
    </xf>
    <xf numFmtId="0" fontId="3" fillId="0" borderId="20" xfId="0" applyFont="1" applyFill="1" applyBorder="1" applyAlignment="1">
      <alignment horizontal="center" vertical="center" wrapText="1"/>
    </xf>
    <xf numFmtId="3" fontId="3" fillId="0" borderId="20" xfId="0" applyNumberFormat="1" applyFont="1" applyFill="1" applyBorder="1" applyAlignment="1">
      <alignment horizontal="center" vertical="center" wrapText="1"/>
    </xf>
    <xf numFmtId="170" fontId="3" fillId="0" borderId="20" xfId="107" applyNumberFormat="1" applyFont="1" applyFill="1" applyBorder="1" applyAlignment="1">
      <alignment horizontal="center" vertical="center" wrapText="1"/>
    </xf>
    <xf numFmtId="0" fontId="3" fillId="0" borderId="20" xfId="0" applyFont="1" applyFill="1" applyBorder="1" applyAlignment="1">
      <alignment vertical="center" wrapText="1"/>
    </xf>
    <xf numFmtId="3" fontId="3" fillId="0" borderId="20" xfId="0" applyNumberFormat="1" applyFont="1" applyBorder="1" applyAlignment="1">
      <alignment vertical="center" wrapText="1"/>
    </xf>
    <xf numFmtId="9" fontId="3" fillId="0" borderId="20" xfId="0" applyNumberFormat="1" applyFont="1" applyBorder="1" applyAlignment="1">
      <alignment vertical="center" wrapText="1"/>
    </xf>
    <xf numFmtId="3" fontId="3" fillId="0" borderId="20" xfId="0" applyNumberFormat="1" applyFont="1" applyBorder="1" applyAlignment="1">
      <alignment horizontal="center" vertical="center" wrapText="1"/>
    </xf>
    <xf numFmtId="0" fontId="102" fillId="0" borderId="20" xfId="0" applyFont="1" applyFill="1" applyBorder="1" applyAlignment="1">
      <alignment horizontal="center" vertical="center" wrapText="1"/>
    </xf>
    <xf numFmtId="0" fontId="102" fillId="0" borderId="20" xfId="0" applyFont="1" applyFill="1" applyBorder="1" applyAlignment="1">
      <alignment horizontal="left" vertical="center" wrapText="1"/>
    </xf>
    <xf numFmtId="170" fontId="102" fillId="0" borderId="20" xfId="107" applyNumberFormat="1" applyFont="1" applyFill="1" applyBorder="1" applyAlignment="1">
      <alignment horizontal="center" vertical="center" wrapText="1"/>
    </xf>
    <xf numFmtId="0" fontId="102" fillId="0" borderId="20" xfId="0" applyFont="1" applyFill="1" applyBorder="1" applyAlignment="1">
      <alignment vertical="center" wrapText="1"/>
    </xf>
    <xf numFmtId="3" fontId="102" fillId="0" borderId="20" xfId="0" applyNumberFormat="1" applyFont="1" applyBorder="1" applyAlignment="1">
      <alignment vertical="center" wrapText="1"/>
    </xf>
    <xf numFmtId="9" fontId="102" fillId="0" borderId="20" xfId="0" applyNumberFormat="1" applyFont="1" applyBorder="1" applyAlignment="1">
      <alignment vertical="center" wrapText="1"/>
    </xf>
    <xf numFmtId="3" fontId="102" fillId="0" borderId="20" xfId="0" applyNumberFormat="1" applyFont="1" applyBorder="1" applyAlignment="1">
      <alignment horizontal="center" vertical="center" wrapText="1"/>
    </xf>
    <xf numFmtId="0" fontId="3" fillId="0" borderId="20" xfId="0" applyFont="1" applyFill="1" applyBorder="1" applyAlignment="1">
      <alignment horizontal="left" vertical="center" wrapText="1"/>
    </xf>
    <xf numFmtId="0" fontId="103" fillId="0" borderId="20" xfId="0" applyFont="1" applyFill="1" applyBorder="1" applyAlignment="1">
      <alignment horizontal="center" vertical="center" wrapText="1"/>
    </xf>
    <xf numFmtId="0" fontId="103" fillId="0" borderId="20" xfId="0" applyFont="1" applyFill="1" applyBorder="1" applyAlignment="1">
      <alignment vertical="center" wrapText="1"/>
    </xf>
    <xf numFmtId="3" fontId="103" fillId="0" borderId="20" xfId="0" applyNumberFormat="1" applyFont="1" applyBorder="1" applyAlignment="1">
      <alignment vertical="center" wrapText="1"/>
    </xf>
    <xf numFmtId="9" fontId="103" fillId="0" borderId="20" xfId="0" applyNumberFormat="1" applyFont="1" applyBorder="1" applyAlignment="1">
      <alignment vertical="center" wrapText="1"/>
    </xf>
    <xf numFmtId="3" fontId="103" fillId="0" borderId="20" xfId="0" applyNumberFormat="1" applyFont="1" applyBorder="1" applyAlignment="1">
      <alignment horizontal="center" vertical="center" wrapText="1"/>
    </xf>
    <xf numFmtId="0" fontId="107" fillId="0" borderId="20" xfId="0" applyFont="1" applyFill="1" applyBorder="1" applyAlignment="1">
      <alignment horizontal="center" vertical="center" wrapText="1"/>
    </xf>
    <xf numFmtId="170" fontId="107" fillId="0" borderId="20" xfId="107" applyNumberFormat="1" applyFont="1" applyFill="1" applyBorder="1" applyAlignment="1">
      <alignment horizontal="center" vertical="center" wrapText="1"/>
    </xf>
    <xf numFmtId="0" fontId="107" fillId="0" borderId="20" xfId="0" applyFont="1" applyFill="1" applyBorder="1" applyAlignment="1">
      <alignment vertical="center" wrapText="1"/>
    </xf>
    <xf numFmtId="3" fontId="107" fillId="0" borderId="20" xfId="0" applyNumberFormat="1" applyFont="1" applyBorder="1" applyAlignment="1">
      <alignment vertical="center" wrapText="1"/>
    </xf>
    <xf numFmtId="9" fontId="107" fillId="0" borderId="20" xfId="0" applyNumberFormat="1" applyFont="1" applyBorder="1" applyAlignment="1">
      <alignment vertical="center" wrapText="1"/>
    </xf>
    <xf numFmtId="3" fontId="107" fillId="0" borderId="20" xfId="0" applyNumberFormat="1" applyFont="1" applyBorder="1" applyAlignment="1">
      <alignment horizontal="center" vertical="center" wrapText="1"/>
    </xf>
    <xf numFmtId="0" fontId="3" fillId="0" borderId="22" xfId="0" applyFont="1" applyFill="1" applyBorder="1" applyAlignment="1">
      <alignment horizontal="center" vertical="center" wrapText="1"/>
    </xf>
    <xf numFmtId="170" fontId="3" fillId="0" borderId="22" xfId="107" applyNumberFormat="1" applyFont="1" applyFill="1" applyBorder="1" applyAlignment="1">
      <alignment horizontal="center" vertical="center" wrapText="1"/>
    </xf>
    <xf numFmtId="0" fontId="3" fillId="0" borderId="22" xfId="0" applyFont="1" applyFill="1" applyBorder="1" applyAlignment="1">
      <alignment vertical="center" wrapText="1"/>
    </xf>
    <xf numFmtId="3" fontId="3" fillId="0" borderId="22" xfId="0" applyNumberFormat="1" applyFont="1" applyBorder="1" applyAlignment="1">
      <alignment horizontal="center" vertical="center" wrapText="1"/>
    </xf>
    <xf numFmtId="3" fontId="3" fillId="0" borderId="22" xfId="0" applyNumberFormat="1" applyFont="1" applyBorder="1" applyAlignment="1">
      <alignment vertical="center" wrapText="1"/>
    </xf>
    <xf numFmtId="9" fontId="3" fillId="0" borderId="22" xfId="0" applyNumberFormat="1" applyFont="1" applyBorder="1" applyAlignment="1">
      <alignment vertical="center" wrapText="1"/>
    </xf>
    <xf numFmtId="170" fontId="72" fillId="0" borderId="10" xfId="0" applyNumberFormat="1" applyFont="1" applyBorder="1" applyAlignment="1">
      <alignment horizontal="center" vertical="center" wrapText="1"/>
    </xf>
    <xf numFmtId="0" fontId="107" fillId="0" borderId="22"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0" xfId="0" applyFont="1" applyFill="1" applyBorder="1" applyAlignment="1">
      <alignment horizontal="left" vertical="center" wrapText="1"/>
    </xf>
    <xf numFmtId="170" fontId="4" fillId="0" borderId="20" xfId="107" applyNumberFormat="1" applyFont="1" applyFill="1" applyBorder="1" applyAlignment="1">
      <alignment horizontal="center" vertical="center" wrapText="1"/>
    </xf>
    <xf numFmtId="0" fontId="4" fillId="0" borderId="20" xfId="0" applyFont="1" applyFill="1" applyBorder="1" applyAlignment="1">
      <alignment vertical="center" wrapText="1"/>
    </xf>
    <xf numFmtId="3" fontId="4" fillId="0" borderId="20" xfId="0" applyNumberFormat="1" applyFont="1" applyBorder="1" applyAlignment="1">
      <alignment vertical="center" wrapText="1"/>
    </xf>
    <xf numFmtId="0" fontId="4" fillId="0" borderId="20" xfId="0" applyFont="1" applyBorder="1" applyAlignment="1">
      <alignment horizontal="center" vertical="center"/>
    </xf>
    <xf numFmtId="170" fontId="4" fillId="0" borderId="20" xfId="107" applyNumberFormat="1" applyFont="1" applyBorder="1" applyAlignment="1">
      <alignment horizontal="center" vertical="center"/>
    </xf>
    <xf numFmtId="3" fontId="4" fillId="0" borderId="20" xfId="0" applyNumberFormat="1" applyFont="1" applyBorder="1" applyAlignment="1">
      <alignment horizontal="center" vertical="center" wrapText="1"/>
    </xf>
    <xf numFmtId="3" fontId="4" fillId="0" borderId="20" xfId="0" quotePrefix="1" applyNumberFormat="1" applyFont="1" applyBorder="1" applyAlignment="1">
      <alignment horizontal="center" vertical="center"/>
    </xf>
    <xf numFmtId="0" fontId="4" fillId="0" borderId="22" xfId="0" applyFont="1" applyFill="1" applyBorder="1" applyAlignment="1">
      <alignment horizontal="center" vertical="center" wrapText="1"/>
    </xf>
    <xf numFmtId="170" fontId="4" fillId="0" borderId="22" xfId="107" applyNumberFormat="1" applyFont="1" applyFill="1" applyBorder="1" applyAlignment="1">
      <alignment horizontal="center" vertical="center" wrapText="1"/>
    </xf>
    <xf numFmtId="0" fontId="4" fillId="0" borderId="22" xfId="0" applyFont="1" applyFill="1" applyBorder="1" applyAlignment="1">
      <alignment vertical="center" wrapText="1"/>
    </xf>
    <xf numFmtId="3" fontId="4" fillId="0" borderId="22" xfId="0" applyNumberFormat="1" applyFont="1" applyBorder="1" applyAlignment="1">
      <alignment vertical="center" wrapText="1"/>
    </xf>
    <xf numFmtId="3" fontId="4" fillId="0" borderId="22" xfId="0" applyNumberFormat="1" applyFont="1" applyBorder="1" applyAlignment="1">
      <alignment horizontal="center" vertical="center" wrapText="1"/>
    </xf>
    <xf numFmtId="170" fontId="103" fillId="0" borderId="20" xfId="107" applyNumberFormat="1" applyFont="1" applyFill="1" applyBorder="1" applyAlignment="1">
      <alignment horizontal="center" vertical="center" wrapText="1"/>
    </xf>
    <xf numFmtId="0" fontId="4" fillId="0" borderId="0" xfId="0" applyFont="1" applyAlignment="1">
      <alignment horizontal="center" vertical="center"/>
    </xf>
    <xf numFmtId="0" fontId="102" fillId="0" borderId="10" xfId="0" applyFont="1" applyBorder="1" applyAlignment="1">
      <alignment horizontal="center" vertical="center" wrapText="1"/>
    </xf>
    <xf numFmtId="3" fontId="102" fillId="0" borderId="10" xfId="0" applyNumberFormat="1" applyFont="1" applyBorder="1" applyAlignment="1">
      <alignment horizontal="center" vertical="center" wrapText="1"/>
    </xf>
    <xf numFmtId="170" fontId="102" fillId="0" borderId="10" xfId="0" applyNumberFormat="1" applyFont="1" applyBorder="1" applyAlignment="1">
      <alignment horizontal="center" vertical="center" wrapText="1"/>
    </xf>
    <xf numFmtId="3" fontId="102" fillId="0" borderId="10" xfId="0" applyNumberFormat="1" applyFont="1" applyBorder="1" applyAlignment="1">
      <alignment vertical="center" wrapText="1"/>
    </xf>
    <xf numFmtId="3" fontId="102" fillId="0" borderId="10" xfId="0" applyNumberFormat="1" applyFont="1" applyFill="1" applyBorder="1" applyAlignment="1">
      <alignment vertical="center" wrapText="1"/>
    </xf>
    <xf numFmtId="170" fontId="24" fillId="0" borderId="10" xfId="107" applyNumberFormat="1" applyFont="1" applyFill="1" applyBorder="1" applyAlignment="1">
      <alignment horizontal="center" vertical="center" wrapText="1"/>
    </xf>
    <xf numFmtId="3" fontId="4" fillId="26" borderId="10" xfId="0" applyNumberFormat="1" applyFont="1" applyFill="1" applyBorder="1" applyAlignment="1">
      <alignment horizontal="center" vertical="center" wrapText="1"/>
    </xf>
    <xf numFmtId="3" fontId="24" fillId="26" borderId="10" xfId="0" applyNumberFormat="1" applyFont="1" applyFill="1" applyBorder="1" applyAlignment="1">
      <alignment horizontal="center" vertical="center" wrapText="1"/>
    </xf>
    <xf numFmtId="3" fontId="4" fillId="26" borderId="10" xfId="0" applyNumberFormat="1" applyFont="1" applyFill="1" applyBorder="1" applyAlignment="1">
      <alignment horizontal="center" vertical="center" wrapText="1"/>
    </xf>
    <xf numFmtId="3" fontId="4" fillId="26" borderId="0" xfId="0" applyNumberFormat="1" applyFont="1" applyFill="1" applyAlignment="1">
      <alignment horizontal="center"/>
    </xf>
    <xf numFmtId="0" fontId="115" fillId="26" borderId="0" xfId="0" applyFont="1" applyFill="1"/>
    <xf numFmtId="0" fontId="79" fillId="26" borderId="0" xfId="0" applyFont="1" applyFill="1" applyAlignment="1">
      <alignment vertical="center"/>
    </xf>
    <xf numFmtId="0" fontId="80" fillId="26" borderId="0" xfId="0" applyFont="1" applyFill="1" applyAlignment="1">
      <alignment vertical="center"/>
    </xf>
    <xf numFmtId="0" fontId="28" fillId="26" borderId="20" xfId="0" applyFont="1" applyFill="1" applyBorder="1" applyAlignment="1">
      <alignment vertical="center" wrapText="1"/>
    </xf>
    <xf numFmtId="0" fontId="24" fillId="26" borderId="20" xfId="0" applyFont="1" applyFill="1" applyBorder="1" applyAlignment="1">
      <alignment vertical="center" wrapText="1"/>
    </xf>
    <xf numFmtId="3" fontId="102" fillId="29" borderId="21" xfId="0" applyNumberFormat="1" applyFont="1" applyFill="1" applyBorder="1" applyAlignment="1">
      <alignment horizontal="left" vertical="center" wrapText="1"/>
    </xf>
    <xf numFmtId="3" fontId="102" fillId="29" borderId="20" xfId="0" applyNumberFormat="1" applyFont="1" applyFill="1" applyBorder="1" applyAlignment="1">
      <alignment horizontal="left" vertical="center"/>
    </xf>
    <xf numFmtId="3" fontId="102" fillId="29" borderId="20" xfId="0" applyNumberFormat="1" applyFont="1" applyFill="1" applyBorder="1" applyAlignment="1">
      <alignment horizontal="center" vertical="center"/>
    </xf>
    <xf numFmtId="0" fontId="102" fillId="29" borderId="20" xfId="208" applyNumberFormat="1" applyFont="1" applyFill="1" applyBorder="1" applyAlignment="1">
      <alignment horizontal="left" vertical="center" wrapText="1"/>
    </xf>
    <xf numFmtId="0" fontId="24" fillId="29" borderId="10" xfId="0" applyFont="1" applyFill="1" applyBorder="1" applyAlignment="1">
      <alignment horizontal="center" vertical="center" wrapText="1"/>
    </xf>
    <xf numFmtId="3" fontId="24" fillId="29" borderId="10" xfId="0" applyNumberFormat="1" applyFont="1" applyFill="1" applyBorder="1" applyAlignment="1">
      <alignment horizontal="center" vertical="center" wrapText="1"/>
    </xf>
    <xf numFmtId="0" fontId="115" fillId="29" borderId="0" xfId="0" applyFont="1" applyFill="1"/>
    <xf numFmtId="0" fontId="102" fillId="29" borderId="20" xfId="183" applyFont="1" applyFill="1" applyBorder="1" applyAlignment="1">
      <alignment horizontal="center" vertical="center" wrapText="1"/>
    </xf>
    <xf numFmtId="0" fontId="102" fillId="29" borderId="20" xfId="183" applyFont="1" applyFill="1" applyBorder="1" applyAlignment="1">
      <alignment horizontal="left" vertical="center" wrapText="1"/>
    </xf>
    <xf numFmtId="3" fontId="102" fillId="29" borderId="20" xfId="0" applyNumberFormat="1" applyFont="1" applyFill="1" applyBorder="1" applyAlignment="1">
      <alignment horizontal="left" vertical="center" wrapText="1"/>
    </xf>
    <xf numFmtId="0" fontId="102" fillId="29" borderId="20" xfId="0" applyFont="1" applyFill="1" applyBorder="1" applyAlignment="1">
      <alignment horizontal="center" vertical="center" wrapText="1"/>
    </xf>
    <xf numFmtId="0" fontId="102" fillId="29" borderId="20" xfId="0" applyFont="1" applyFill="1" applyBorder="1" applyAlignment="1">
      <alignment vertical="center" wrapText="1"/>
    </xf>
    <xf numFmtId="0" fontId="116" fillId="29" borderId="0" xfId="0" applyFont="1" applyFill="1" applyAlignment="1">
      <alignment vertical="center"/>
    </xf>
    <xf numFmtId="0" fontId="109" fillId="29" borderId="20" xfId="0" applyFont="1" applyFill="1" applyBorder="1" applyAlignment="1">
      <alignment vertical="center" wrapText="1"/>
    </xf>
    <xf numFmtId="0" fontId="117" fillId="29" borderId="0" xfId="0" applyFont="1" applyFill="1" applyAlignment="1">
      <alignment vertical="center"/>
    </xf>
    <xf numFmtId="3" fontId="104" fillId="29" borderId="20" xfId="0" applyNumberFormat="1" applyFont="1" applyFill="1" applyBorder="1" applyAlignment="1">
      <alignment horizontal="center" vertical="center" wrapText="1"/>
    </xf>
    <xf numFmtId="3" fontId="104" fillId="29" borderId="20" xfId="0" applyNumberFormat="1" applyFont="1" applyFill="1" applyBorder="1" applyAlignment="1">
      <alignment horizontal="left" vertical="center" wrapText="1"/>
    </xf>
    <xf numFmtId="0" fontId="102" fillId="29" borderId="21" xfId="0" applyFont="1" applyFill="1" applyBorder="1" applyAlignment="1">
      <alignment horizontal="center" vertical="center" wrapText="1"/>
    </xf>
    <xf numFmtId="0" fontId="102" fillId="29" borderId="21" xfId="0" applyFont="1" applyFill="1" applyBorder="1" applyAlignment="1">
      <alignment vertical="center" wrapText="1"/>
    </xf>
    <xf numFmtId="0" fontId="4" fillId="26" borderId="20" xfId="0" applyFont="1" applyFill="1" applyBorder="1" applyAlignment="1">
      <alignment vertical="center" wrapText="1"/>
    </xf>
    <xf numFmtId="0" fontId="31" fillId="26" borderId="0" xfId="0" applyFont="1" applyFill="1" applyAlignment="1">
      <alignment vertical="center"/>
    </xf>
    <xf numFmtId="166" fontId="4" fillId="26" borderId="20" xfId="107" applyFont="1" applyFill="1" applyBorder="1" applyAlignment="1">
      <alignment vertical="center" wrapText="1"/>
    </xf>
    <xf numFmtId="170" fontId="4" fillId="26" borderId="20" xfId="107" applyNumberFormat="1" applyFont="1" applyFill="1" applyBorder="1" applyAlignment="1">
      <alignment vertical="center" wrapText="1"/>
    </xf>
    <xf numFmtId="170" fontId="24" fillId="26" borderId="20" xfId="107" applyNumberFormat="1" applyFont="1" applyFill="1" applyBorder="1" applyAlignment="1">
      <alignment vertical="center" wrapText="1"/>
    </xf>
    <xf numFmtId="170" fontId="28" fillId="26" borderId="20" xfId="107" applyNumberFormat="1" applyFont="1" applyFill="1" applyBorder="1" applyAlignment="1">
      <alignment vertical="center" wrapText="1"/>
    </xf>
    <xf numFmtId="170" fontId="4" fillId="26" borderId="20" xfId="0" applyNumberFormat="1" applyFont="1" applyFill="1" applyBorder="1" applyAlignment="1">
      <alignment vertical="center" wrapText="1"/>
    </xf>
    <xf numFmtId="3" fontId="4" fillId="29" borderId="10" xfId="0" applyNumberFormat="1" applyFont="1" applyFill="1" applyBorder="1" applyAlignment="1">
      <alignment horizontal="center" vertical="center" wrapText="1"/>
    </xf>
    <xf numFmtId="0" fontId="115" fillId="26" borderId="0" xfId="0" applyFont="1" applyFill="1" applyAlignment="1">
      <alignment horizontal="center"/>
    </xf>
    <xf numFmtId="0" fontId="109" fillId="29" borderId="20" xfId="0" applyFont="1" applyFill="1" applyBorder="1" applyAlignment="1">
      <alignment horizontal="center" vertical="center" wrapText="1"/>
    </xf>
    <xf numFmtId="1" fontId="4" fillId="26" borderId="20" xfId="0" applyNumberFormat="1" applyFont="1" applyFill="1" applyBorder="1" applyAlignment="1">
      <alignment horizontal="center" vertical="center" wrapText="1"/>
    </xf>
    <xf numFmtId="0" fontId="28" fillId="26" borderId="20" xfId="0" applyFont="1" applyFill="1" applyBorder="1" applyAlignment="1">
      <alignment horizontal="center" vertical="center" wrapText="1"/>
    </xf>
    <xf numFmtId="0" fontId="24" fillId="26" borderId="20" xfId="0" applyFont="1" applyFill="1" applyBorder="1" applyAlignment="1">
      <alignment horizontal="center" vertical="center" wrapText="1"/>
    </xf>
    <xf numFmtId="3" fontId="102" fillId="29" borderId="20" xfId="0" applyNumberFormat="1" applyFont="1" applyFill="1" applyBorder="1" applyAlignment="1">
      <alignment vertical="center" wrapText="1"/>
    </xf>
    <xf numFmtId="166" fontId="102" fillId="29" borderId="20" xfId="107" applyFont="1" applyFill="1" applyBorder="1" applyAlignment="1">
      <alignment vertical="center" wrapText="1"/>
    </xf>
    <xf numFmtId="166" fontId="102" fillId="29" borderId="10" xfId="107" applyFont="1" applyFill="1" applyBorder="1" applyAlignment="1">
      <alignment vertical="center" wrapText="1"/>
    </xf>
    <xf numFmtId="3" fontId="102" fillId="29" borderId="21" xfId="0" applyNumberFormat="1" applyFont="1" applyFill="1" applyBorder="1" applyAlignment="1">
      <alignment vertical="center" wrapText="1"/>
    </xf>
    <xf numFmtId="0" fontId="103" fillId="29" borderId="10" xfId="0" applyFont="1" applyFill="1" applyBorder="1" applyAlignment="1">
      <alignment horizontal="center" vertical="center" wrapText="1"/>
    </xf>
    <xf numFmtId="0" fontId="102" fillId="29" borderId="10" xfId="0" applyFont="1" applyFill="1" applyBorder="1" applyAlignment="1">
      <alignment horizontal="center" vertical="center" wrapText="1"/>
    </xf>
    <xf numFmtId="0" fontId="118" fillId="29" borderId="0" xfId="0" applyFont="1" applyFill="1" applyAlignment="1">
      <alignment horizontal="center" vertical="center"/>
    </xf>
    <xf numFmtId="170" fontId="102" fillId="29" borderId="21" xfId="107" applyNumberFormat="1" applyFont="1" applyFill="1" applyBorder="1" applyAlignment="1">
      <alignment vertical="center" wrapText="1"/>
    </xf>
    <xf numFmtId="170" fontId="102" fillId="29" borderId="20" xfId="107" applyNumberFormat="1" applyFont="1" applyFill="1" applyBorder="1" applyAlignment="1">
      <alignment vertical="center" wrapText="1"/>
    </xf>
    <xf numFmtId="170" fontId="102" fillId="29" borderId="10" xfId="107" applyNumberFormat="1" applyFont="1" applyFill="1" applyBorder="1" applyAlignment="1">
      <alignment horizontal="center" vertical="center" wrapText="1"/>
    </xf>
    <xf numFmtId="0" fontId="117" fillId="26" borderId="0" xfId="0" applyFont="1" applyFill="1" applyAlignment="1">
      <alignment vertical="center"/>
    </xf>
    <xf numFmtId="0" fontId="104" fillId="26" borderId="20" xfId="0" applyFont="1" applyFill="1" applyBorder="1" applyAlignment="1">
      <alignment horizontal="center" vertical="center" wrapText="1"/>
    </xf>
    <xf numFmtId="166" fontId="102" fillId="26" borderId="20" xfId="107" applyFont="1" applyFill="1" applyBorder="1" applyAlignment="1">
      <alignment vertical="center" wrapText="1"/>
    </xf>
    <xf numFmtId="0" fontId="109" fillId="26" borderId="20" xfId="0" applyFont="1" applyFill="1" applyBorder="1" applyAlignment="1">
      <alignment vertical="center" wrapText="1"/>
    </xf>
    <xf numFmtId="1" fontId="102" fillId="26" borderId="20" xfId="0" applyNumberFormat="1" applyFont="1" applyFill="1" applyBorder="1" applyAlignment="1">
      <alignment horizontal="center" vertical="center" wrapText="1"/>
    </xf>
    <xf numFmtId="3" fontId="102" fillId="29" borderId="20" xfId="107" applyNumberFormat="1" applyFont="1" applyFill="1" applyBorder="1" applyAlignment="1">
      <alignment vertical="center" wrapText="1"/>
    </xf>
    <xf numFmtId="0" fontId="109" fillId="26" borderId="20" xfId="0" applyFont="1" applyFill="1" applyBorder="1" applyAlignment="1">
      <alignment horizontal="center" vertical="center" wrapText="1"/>
    </xf>
    <xf numFmtId="0" fontId="119" fillId="27" borderId="20" xfId="0" applyFont="1" applyFill="1" applyBorder="1" applyAlignment="1">
      <alignment horizontal="center" vertical="center" wrapText="1"/>
    </xf>
    <xf numFmtId="0" fontId="119" fillId="26" borderId="20" xfId="0" applyFont="1" applyFill="1" applyBorder="1" applyAlignment="1">
      <alignment horizontal="center" vertical="center" wrapText="1"/>
    </xf>
    <xf numFmtId="0" fontId="120" fillId="26" borderId="20" xfId="0" applyFont="1" applyFill="1" applyBorder="1" applyAlignment="1">
      <alignment horizontal="center" vertical="center" wrapText="1"/>
    </xf>
    <xf numFmtId="3" fontId="103" fillId="27" borderId="20" xfId="208" applyNumberFormat="1" applyFont="1" applyFill="1" applyBorder="1" applyAlignment="1">
      <alignment horizontal="center" vertical="center" wrapText="1"/>
    </xf>
    <xf numFmtId="0" fontId="121" fillId="27" borderId="20" xfId="0" applyFont="1" applyFill="1" applyBorder="1" applyAlignment="1">
      <alignment horizontal="center" vertical="center" wrapText="1"/>
    </xf>
    <xf numFmtId="0" fontId="65" fillId="30" borderId="20" xfId="0" applyFont="1" applyFill="1" applyBorder="1" applyAlignment="1">
      <alignment horizontal="center" vertical="center" wrapText="1"/>
    </xf>
    <xf numFmtId="0" fontId="65" fillId="30" borderId="20" xfId="0" quotePrefix="1" applyFont="1" applyFill="1" applyBorder="1" applyAlignment="1">
      <alignment horizontal="left" vertical="center" wrapText="1"/>
    </xf>
    <xf numFmtId="172" fontId="65" fillId="30" borderId="20" xfId="107" applyNumberFormat="1" applyFont="1" applyFill="1" applyBorder="1" applyAlignment="1">
      <alignment horizontal="center" vertical="center" wrapText="1"/>
    </xf>
    <xf numFmtId="3" fontId="64" fillId="30" borderId="20" xfId="0" applyNumberFormat="1" applyFont="1" applyFill="1" applyBorder="1" applyAlignment="1">
      <alignment vertical="center" wrapText="1"/>
    </xf>
    <xf numFmtId="3" fontId="65" fillId="30" borderId="20" xfId="0" applyNumberFormat="1" applyFont="1" applyFill="1" applyBorder="1" applyAlignment="1">
      <alignment vertical="center" wrapText="1"/>
    </xf>
    <xf numFmtId="3" fontId="65" fillId="30" borderId="20" xfId="0" applyNumberFormat="1" applyFont="1" applyFill="1" applyBorder="1" applyAlignment="1">
      <alignment horizontal="center" vertical="center" wrapText="1"/>
    </xf>
    <xf numFmtId="1" fontId="65" fillId="30" borderId="20" xfId="218" quotePrefix="1" applyNumberFormat="1" applyFont="1" applyFill="1" applyBorder="1" applyAlignment="1">
      <alignment horizontal="center" vertical="center" wrapText="1"/>
    </xf>
    <xf numFmtId="170" fontId="4" fillId="30" borderId="20" xfId="107" quotePrefix="1" applyNumberFormat="1" applyFont="1" applyFill="1" applyBorder="1" applyAlignment="1">
      <alignment horizontal="center" vertical="center" wrapText="1"/>
    </xf>
    <xf numFmtId="3" fontId="105" fillId="30" borderId="20" xfId="0" applyNumberFormat="1" applyFont="1" applyFill="1" applyBorder="1" applyAlignment="1">
      <alignment horizontal="center" vertical="center"/>
    </xf>
    <xf numFmtId="170" fontId="3" fillId="30" borderId="20" xfId="107" applyNumberFormat="1" applyFont="1" applyFill="1" applyBorder="1" applyAlignment="1">
      <alignment horizontal="right" vertical="center" wrapText="1"/>
    </xf>
    <xf numFmtId="3" fontId="65" fillId="30" borderId="20" xfId="0" applyNumberFormat="1" applyFont="1" applyFill="1" applyBorder="1" applyAlignment="1">
      <alignment horizontal="right" vertical="center"/>
    </xf>
    <xf numFmtId="3" fontId="104" fillId="30" borderId="20" xfId="0" applyNumberFormat="1" applyFont="1" applyFill="1" applyBorder="1"/>
    <xf numFmtId="170" fontId="65" fillId="30" borderId="20" xfId="107" applyNumberFormat="1" applyFont="1" applyFill="1" applyBorder="1" applyAlignment="1">
      <alignment horizontal="center" vertical="center" wrapText="1"/>
    </xf>
    <xf numFmtId="166" fontId="4" fillId="30" borderId="20" xfId="107" applyFont="1" applyFill="1" applyBorder="1" applyAlignment="1">
      <alignment horizontal="center" vertical="center" wrapText="1"/>
    </xf>
    <xf numFmtId="0" fontId="119" fillId="30" borderId="20" xfId="0" applyFont="1" applyFill="1" applyBorder="1" applyAlignment="1">
      <alignment horizontal="center" vertical="center" wrapText="1"/>
    </xf>
    <xf numFmtId="166" fontId="65" fillId="30" borderId="0" xfId="107" applyFont="1" applyFill="1" applyAlignment="1">
      <alignment vertical="center"/>
    </xf>
    <xf numFmtId="3" fontId="3" fillId="30" borderId="10" xfId="0" applyNumberFormat="1" applyFont="1" applyFill="1" applyBorder="1" applyAlignment="1">
      <alignment horizontal="center" vertical="center" wrapText="1"/>
    </xf>
    <xf numFmtId="3" fontId="105" fillId="30" borderId="0" xfId="0" applyNumberFormat="1" applyFont="1" applyFill="1"/>
    <xf numFmtId="3" fontId="65" fillId="30" borderId="20" xfId="0" quotePrefix="1" applyNumberFormat="1" applyFont="1" applyFill="1" applyBorder="1" applyAlignment="1">
      <alignment vertical="center" wrapText="1"/>
    </xf>
    <xf numFmtId="3" fontId="65" fillId="30" borderId="20" xfId="0" applyNumberFormat="1" applyFont="1" applyFill="1" applyBorder="1" applyAlignment="1">
      <alignment horizontal="right" vertical="center" wrapText="1"/>
    </xf>
    <xf numFmtId="3" fontId="3" fillId="26" borderId="0" xfId="0" applyNumberFormat="1" applyFont="1" applyFill="1" applyBorder="1" applyAlignment="1">
      <alignment vertical="center" wrapText="1"/>
    </xf>
    <xf numFmtId="3" fontId="3" fillId="26" borderId="0" xfId="0" applyNumberFormat="1" applyFont="1" applyFill="1" applyBorder="1" applyAlignment="1">
      <alignment horizontal="center" vertical="center" wrapText="1"/>
    </xf>
    <xf numFmtId="0" fontId="4" fillId="28" borderId="10" xfId="208" applyNumberFormat="1" applyFont="1" applyFill="1" applyBorder="1" applyAlignment="1">
      <alignment horizontal="center" vertical="center" wrapText="1"/>
    </xf>
    <xf numFmtId="0" fontId="3" fillId="30" borderId="20" xfId="0" applyFont="1" applyFill="1" applyBorder="1" applyAlignment="1">
      <alignment horizontal="center" vertical="center" wrapText="1"/>
    </xf>
    <xf numFmtId="0" fontId="65" fillId="30" borderId="20" xfId="0" applyFont="1" applyFill="1" applyBorder="1" applyAlignment="1">
      <alignment horizontal="left" vertical="center" wrapText="1"/>
    </xf>
    <xf numFmtId="3" fontId="3" fillId="30" borderId="20" xfId="0" applyNumberFormat="1" applyFont="1" applyFill="1" applyBorder="1" applyAlignment="1">
      <alignment horizontal="center" vertical="center" wrapText="1"/>
    </xf>
    <xf numFmtId="170" fontId="3" fillId="30" borderId="20" xfId="107" applyNumberFormat="1" applyFont="1" applyFill="1" applyBorder="1" applyAlignment="1">
      <alignment horizontal="center" vertical="center" wrapText="1"/>
    </xf>
    <xf numFmtId="0" fontId="3" fillId="30" borderId="20" xfId="0" applyFont="1" applyFill="1" applyBorder="1" applyAlignment="1">
      <alignment vertical="center" wrapText="1"/>
    </xf>
    <xf numFmtId="0" fontId="4" fillId="30" borderId="20" xfId="208" applyNumberFormat="1" applyFont="1" applyFill="1" applyBorder="1" applyAlignment="1">
      <alignment horizontal="center" vertical="center" wrapText="1"/>
    </xf>
    <xf numFmtId="0" fontId="111" fillId="30" borderId="20" xfId="208" quotePrefix="1" applyNumberFormat="1" applyFont="1" applyFill="1" applyBorder="1" applyAlignment="1">
      <alignment horizontal="center" vertical="center" wrapText="1"/>
    </xf>
    <xf numFmtId="170" fontId="4" fillId="30" borderId="20" xfId="107" applyNumberFormat="1" applyFont="1" applyFill="1" applyBorder="1" applyAlignment="1">
      <alignment horizontal="center" vertical="center" wrapText="1"/>
    </xf>
    <xf numFmtId="3" fontId="3" fillId="30" borderId="20" xfId="0" applyNumberFormat="1" applyFont="1" applyFill="1" applyBorder="1" applyAlignment="1">
      <alignment vertical="center" wrapText="1"/>
    </xf>
    <xf numFmtId="9" fontId="3" fillId="30" borderId="20" xfId="0" applyNumberFormat="1" applyFont="1" applyFill="1" applyBorder="1" applyAlignment="1">
      <alignment vertical="center" wrapText="1"/>
    </xf>
    <xf numFmtId="183" fontId="66" fillId="30" borderId="0" xfId="0" applyNumberFormat="1" applyFont="1" applyFill="1" applyAlignment="1">
      <alignment vertical="center" wrapText="1"/>
    </xf>
    <xf numFmtId="0" fontId="66" fillId="30" borderId="0" xfId="0" applyFont="1" applyFill="1" applyAlignment="1">
      <alignment vertical="center" wrapText="1"/>
    </xf>
    <xf numFmtId="0" fontId="107" fillId="30" borderId="20" xfId="0" applyFont="1" applyFill="1" applyBorder="1" applyAlignment="1">
      <alignment horizontal="center" vertical="center" wrapText="1"/>
    </xf>
    <xf numFmtId="0" fontId="107" fillId="30" borderId="20" xfId="208" applyNumberFormat="1" applyFont="1" applyFill="1" applyBorder="1" applyAlignment="1">
      <alignment horizontal="left" vertical="center" wrapText="1"/>
    </xf>
    <xf numFmtId="170" fontId="107" fillId="30" borderId="20" xfId="107" applyNumberFormat="1" applyFont="1" applyFill="1" applyBorder="1" applyAlignment="1">
      <alignment horizontal="center" vertical="center" wrapText="1"/>
    </xf>
    <xf numFmtId="0" fontId="107" fillId="30" borderId="20" xfId="0" applyFont="1" applyFill="1" applyBorder="1" applyAlignment="1">
      <alignment vertical="center" wrapText="1"/>
    </xf>
    <xf numFmtId="0" fontId="107" fillId="30" borderId="20" xfId="208" applyNumberFormat="1" applyFont="1" applyFill="1" applyBorder="1" applyAlignment="1">
      <alignment horizontal="center" vertical="center" wrapText="1"/>
    </xf>
    <xf numFmtId="3" fontId="107" fillId="30" borderId="20" xfId="0" applyNumberFormat="1" applyFont="1" applyFill="1" applyBorder="1" applyAlignment="1">
      <alignment vertical="center" wrapText="1"/>
    </xf>
    <xf numFmtId="9" fontId="107" fillId="30" borderId="20" xfId="0" applyNumberFormat="1" applyFont="1" applyFill="1" applyBorder="1" applyAlignment="1">
      <alignment vertical="center" wrapText="1"/>
    </xf>
    <xf numFmtId="3" fontId="107" fillId="30" borderId="20" xfId="0" applyNumberFormat="1" applyFont="1" applyFill="1" applyBorder="1" applyAlignment="1">
      <alignment horizontal="center" vertical="center" wrapText="1"/>
    </xf>
    <xf numFmtId="183" fontId="113" fillId="30" borderId="0" xfId="0" applyNumberFormat="1" applyFont="1" applyFill="1" applyAlignment="1">
      <alignment vertical="center" wrapText="1"/>
    </xf>
    <xf numFmtId="0" fontId="113" fillId="30" borderId="0" xfId="0" applyFont="1" applyFill="1" applyAlignment="1">
      <alignment vertical="center" wrapText="1"/>
    </xf>
    <xf numFmtId="0" fontId="107" fillId="30" borderId="20" xfId="0" applyFont="1" applyFill="1" applyBorder="1" applyAlignment="1">
      <alignment horizontal="center" vertical="center"/>
    </xf>
    <xf numFmtId="0" fontId="4" fillId="28" borderId="20" xfId="0" applyFont="1" applyFill="1" applyBorder="1" applyAlignment="1">
      <alignment horizontal="center" vertical="center" wrapText="1"/>
    </xf>
    <xf numFmtId="0" fontId="65" fillId="28" borderId="20" xfId="0" applyFont="1" applyFill="1" applyBorder="1" applyAlignment="1">
      <alignment horizontal="left" vertical="center" wrapText="1"/>
    </xf>
    <xf numFmtId="170" fontId="4" fillId="28" borderId="20" xfId="107" applyNumberFormat="1" applyFont="1" applyFill="1" applyBorder="1" applyAlignment="1">
      <alignment horizontal="center" vertical="center" wrapText="1"/>
    </xf>
    <xf numFmtId="0" fontId="4" fillId="28" borderId="20" xfId="0" applyFont="1" applyFill="1" applyBorder="1" applyAlignment="1">
      <alignment vertical="center" wrapText="1"/>
    </xf>
    <xf numFmtId="3" fontId="4" fillId="28" borderId="20" xfId="0" applyNumberFormat="1" applyFont="1" applyFill="1" applyBorder="1" applyAlignment="1">
      <alignment vertical="center" wrapText="1"/>
    </xf>
    <xf numFmtId="3" fontId="4" fillId="28" borderId="20" xfId="0" applyNumberFormat="1" applyFont="1" applyFill="1" applyBorder="1" applyAlignment="1">
      <alignment horizontal="center" vertical="center" wrapText="1"/>
    </xf>
    <xf numFmtId="183" fontId="27" fillId="28" borderId="0" xfId="0" applyNumberFormat="1" applyFont="1" applyFill="1" applyAlignment="1">
      <alignment vertical="center" wrapText="1"/>
    </xf>
    <xf numFmtId="0" fontId="27" fillId="28" borderId="0" xfId="0" applyFont="1" applyFill="1" applyAlignment="1">
      <alignment vertical="center" wrapText="1"/>
    </xf>
    <xf numFmtId="0" fontId="107" fillId="28" borderId="20" xfId="0" applyFont="1" applyFill="1" applyBorder="1" applyAlignment="1">
      <alignment horizontal="center" vertical="center" wrapText="1"/>
    </xf>
    <xf numFmtId="0" fontId="3" fillId="28" borderId="20" xfId="0" applyFont="1" applyFill="1" applyBorder="1" applyAlignment="1">
      <alignment horizontal="center" vertical="center" wrapText="1"/>
    </xf>
    <xf numFmtId="170" fontId="3" fillId="28" borderId="20" xfId="107" applyNumberFormat="1" applyFont="1" applyFill="1" applyBorder="1" applyAlignment="1">
      <alignment horizontal="center" vertical="center" wrapText="1"/>
    </xf>
    <xf numFmtId="0" fontId="3" fillId="28" borderId="20" xfId="0" applyFont="1" applyFill="1" applyBorder="1" applyAlignment="1">
      <alignment vertical="center" wrapText="1"/>
    </xf>
    <xf numFmtId="0" fontId="103" fillId="28" borderId="20" xfId="0" applyFont="1" applyFill="1" applyBorder="1" applyAlignment="1">
      <alignment horizontal="center" vertical="center" wrapText="1"/>
    </xf>
    <xf numFmtId="3" fontId="3" fillId="28" borderId="20" xfId="0" applyNumberFormat="1" applyFont="1" applyFill="1" applyBorder="1" applyAlignment="1">
      <alignment horizontal="center" vertical="center" wrapText="1"/>
    </xf>
    <xf numFmtId="3" fontId="3" fillId="28" borderId="20" xfId="0" applyNumberFormat="1" applyFont="1" applyFill="1" applyBorder="1" applyAlignment="1">
      <alignment vertical="center" wrapText="1"/>
    </xf>
    <xf numFmtId="9" fontId="3" fillId="28" borderId="20" xfId="0" applyNumberFormat="1" applyFont="1" applyFill="1" applyBorder="1" applyAlignment="1">
      <alignment vertical="center" wrapText="1"/>
    </xf>
    <xf numFmtId="183" fontId="66" fillId="28" borderId="0" xfId="0" applyNumberFormat="1" applyFont="1" applyFill="1" applyAlignment="1">
      <alignment vertical="center" wrapText="1"/>
    </xf>
    <xf numFmtId="0" fontId="66" fillId="28" borderId="0" xfId="0" applyFont="1" applyFill="1" applyAlignment="1">
      <alignment vertical="center" wrapText="1"/>
    </xf>
    <xf numFmtId="170" fontId="3" fillId="0" borderId="20" xfId="107" applyNumberFormat="1" applyFont="1" applyBorder="1" applyAlignment="1">
      <alignment vertical="center" wrapText="1"/>
    </xf>
    <xf numFmtId="0" fontId="103" fillId="27" borderId="20" xfId="0" applyFont="1" applyFill="1" applyBorder="1" applyAlignment="1">
      <alignment horizontal="center" vertical="center" wrapText="1"/>
    </xf>
    <xf numFmtId="0" fontId="65" fillId="27" borderId="20" xfId="0" applyFont="1" applyFill="1" applyBorder="1" applyAlignment="1">
      <alignment horizontal="left" vertical="center" wrapText="1"/>
    </xf>
    <xf numFmtId="0" fontId="103" fillId="27" borderId="10" xfId="208" applyNumberFormat="1" applyFont="1" applyFill="1" applyBorder="1" applyAlignment="1">
      <alignment horizontal="center" vertical="center" wrapText="1"/>
    </xf>
    <xf numFmtId="166" fontId="104" fillId="26" borderId="21" xfId="107" applyFont="1" applyFill="1" applyBorder="1" applyAlignment="1">
      <alignment vertical="center"/>
    </xf>
    <xf numFmtId="0" fontId="105" fillId="27" borderId="22" xfId="0" applyFont="1" applyFill="1" applyBorder="1" applyAlignment="1">
      <alignment horizontal="center" vertical="center" wrapText="1"/>
    </xf>
    <xf numFmtId="0" fontId="105" fillId="28" borderId="20" xfId="0" applyFont="1" applyFill="1" applyBorder="1" applyAlignment="1">
      <alignment horizontal="center" vertical="center" wrapText="1"/>
    </xf>
    <xf numFmtId="3" fontId="24" fillId="26" borderId="0" xfId="0" applyNumberFormat="1" applyFont="1" applyFill="1" applyBorder="1"/>
    <xf numFmtId="3" fontId="102" fillId="31" borderId="0" xfId="0" applyNumberFormat="1" applyFont="1" applyFill="1" applyBorder="1" applyAlignment="1">
      <alignment vertical="center" wrapText="1"/>
    </xf>
    <xf numFmtId="3" fontId="105" fillId="27" borderId="0" xfId="0" applyNumberFormat="1" applyFont="1" applyFill="1" applyBorder="1"/>
    <xf numFmtId="3" fontId="105" fillId="30" borderId="0" xfId="0" applyNumberFormat="1" applyFont="1" applyFill="1" applyBorder="1"/>
    <xf numFmtId="3" fontId="103" fillId="27" borderId="0" xfId="0" applyNumberFormat="1" applyFont="1" applyFill="1" applyBorder="1"/>
    <xf numFmtId="3" fontId="108" fillId="27" borderId="0" xfId="0" applyNumberFormat="1" applyFont="1" applyFill="1" applyBorder="1"/>
    <xf numFmtId="3" fontId="65" fillId="26" borderId="0" xfId="0" applyNumberFormat="1" applyFont="1" applyFill="1" applyBorder="1"/>
    <xf numFmtId="3" fontId="102" fillId="27" borderId="0" xfId="0" applyNumberFormat="1" applyFont="1" applyFill="1" applyBorder="1" applyAlignment="1">
      <alignment vertical="center" wrapText="1"/>
    </xf>
    <xf numFmtId="0" fontId="111" fillId="26" borderId="22" xfId="208" quotePrefix="1" applyNumberFormat="1" applyFont="1" applyFill="1" applyBorder="1" applyAlignment="1">
      <alignment horizontal="center" vertical="center" wrapText="1"/>
    </xf>
    <xf numFmtId="166" fontId="4" fillId="0" borderId="20" xfId="107" applyFont="1" applyBorder="1" applyAlignment="1">
      <alignment vertical="center" wrapText="1"/>
    </xf>
    <xf numFmtId="169" fontId="4" fillId="0" borderId="20" xfId="107" applyNumberFormat="1" applyFont="1" applyBorder="1" applyAlignment="1">
      <alignment vertical="center" wrapText="1"/>
    </xf>
    <xf numFmtId="3" fontId="103" fillId="31" borderId="10" xfId="0" applyNumberFormat="1" applyFont="1" applyFill="1" applyBorder="1" applyAlignment="1">
      <alignment horizontal="center" vertical="center" wrapText="1"/>
    </xf>
    <xf numFmtId="0" fontId="122" fillId="26" borderId="0" xfId="0" applyFont="1" applyFill="1"/>
    <xf numFmtId="3" fontId="123" fillId="26" borderId="10" xfId="0" applyNumberFormat="1" applyFont="1" applyFill="1" applyBorder="1" applyAlignment="1">
      <alignment horizontal="center" vertical="center" wrapText="1"/>
    </xf>
    <xf numFmtId="3" fontId="123" fillId="29" borderId="10" xfId="0" applyNumberFormat="1" applyFont="1" applyFill="1" applyBorder="1" applyAlignment="1">
      <alignment horizontal="center" vertical="center" wrapText="1"/>
    </xf>
    <xf numFmtId="170" fontId="123" fillId="29" borderId="21" xfId="107" applyNumberFormat="1" applyFont="1" applyFill="1" applyBorder="1" applyAlignment="1">
      <alignment vertical="center" wrapText="1"/>
    </xf>
    <xf numFmtId="170" fontId="123" fillId="29" borderId="20" xfId="107" applyNumberFormat="1" applyFont="1" applyFill="1" applyBorder="1" applyAlignment="1">
      <alignment vertical="center" wrapText="1"/>
    </xf>
    <xf numFmtId="170" fontId="106" fillId="26" borderId="20" xfId="107" applyNumberFormat="1" applyFont="1" applyFill="1" applyBorder="1" applyAlignment="1">
      <alignment vertical="center" wrapText="1"/>
    </xf>
    <xf numFmtId="170" fontId="123" fillId="26" borderId="20" xfId="107" applyNumberFormat="1" applyFont="1" applyFill="1" applyBorder="1" applyAlignment="1">
      <alignment vertical="center" wrapText="1"/>
    </xf>
    <xf numFmtId="170" fontId="124" fillId="26" borderId="20" xfId="107" applyNumberFormat="1" applyFont="1" applyFill="1" applyBorder="1" applyAlignment="1">
      <alignment vertical="center" wrapText="1"/>
    </xf>
    <xf numFmtId="170" fontId="123" fillId="29" borderId="10" xfId="107" applyNumberFormat="1" applyFont="1" applyFill="1" applyBorder="1" applyAlignment="1">
      <alignment horizontal="center" vertical="center" wrapText="1"/>
    </xf>
    <xf numFmtId="0" fontId="106" fillId="26" borderId="0" xfId="0" applyFont="1" applyFill="1"/>
    <xf numFmtId="0" fontId="105" fillId="30" borderId="2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0" xfId="0" applyFont="1" applyFill="1" applyBorder="1" applyAlignment="1">
      <alignment horizontal="center" vertical="center" shrinkToFit="1"/>
    </xf>
    <xf numFmtId="0" fontId="4" fillId="0" borderId="0" xfId="0" applyFont="1" applyFill="1" applyAlignment="1">
      <alignment vertical="center"/>
    </xf>
    <xf numFmtId="0" fontId="82" fillId="0" borderId="20" xfId="180" applyNumberFormat="1" applyFont="1" applyFill="1" applyBorder="1" applyAlignment="1">
      <alignment horizontal="center" vertical="center" wrapText="1"/>
    </xf>
    <xf numFmtId="0" fontId="82" fillId="0" borderId="20" xfId="209" applyNumberFormat="1" applyFont="1" applyFill="1" applyBorder="1" applyAlignment="1">
      <alignment horizontal="left" vertical="center" wrapText="1"/>
    </xf>
    <xf numFmtId="0" fontId="82" fillId="0" borderId="20" xfId="180" applyFont="1" applyFill="1" applyBorder="1" applyAlignment="1">
      <alignment horizontal="center" vertical="center" wrapText="1"/>
    </xf>
    <xf numFmtId="3" fontId="82" fillId="0" borderId="20" xfId="180" applyNumberFormat="1" applyFont="1" applyFill="1" applyBorder="1" applyAlignment="1">
      <alignment vertical="center" wrapText="1"/>
    </xf>
    <xf numFmtId="9" fontId="82" fillId="0" borderId="20" xfId="212" applyFont="1" applyFill="1" applyBorder="1" applyAlignment="1">
      <alignment vertical="center" wrapText="1"/>
    </xf>
    <xf numFmtId="0" fontId="78" fillId="0" borderId="20" xfId="180" applyFont="1" applyFill="1" applyBorder="1" applyAlignment="1">
      <alignment horizontal="center" vertical="center" wrapText="1"/>
    </xf>
    <xf numFmtId="0" fontId="78" fillId="0" borderId="20" xfId="180" applyFont="1" applyFill="1" applyBorder="1" applyAlignment="1">
      <alignment horizontal="left" vertical="center" wrapText="1"/>
    </xf>
    <xf numFmtId="3" fontId="78" fillId="0" borderId="20" xfId="180" applyNumberFormat="1" applyFont="1" applyFill="1" applyBorder="1" applyAlignment="1">
      <alignment horizontal="center" vertical="center" wrapText="1"/>
    </xf>
    <xf numFmtId="3" fontId="78" fillId="0" borderId="20" xfId="180" applyNumberFormat="1" applyFont="1" applyFill="1" applyBorder="1" applyAlignment="1">
      <alignment vertical="center" wrapText="1"/>
    </xf>
    <xf numFmtId="0" fontId="78" fillId="0" borderId="20" xfId="180" applyFont="1" applyFill="1" applyBorder="1" applyAlignment="1">
      <alignment vertical="top" wrapText="1"/>
    </xf>
    <xf numFmtId="0" fontId="78" fillId="0" borderId="20" xfId="180" applyFont="1" applyFill="1" applyBorder="1" applyAlignment="1">
      <alignment vertical="center" wrapText="1"/>
    </xf>
    <xf numFmtId="0" fontId="78" fillId="0" borderId="20" xfId="180" applyFont="1" applyFill="1" applyBorder="1" applyAlignment="1">
      <alignment horizontal="justify" vertical="top" wrapText="1"/>
    </xf>
    <xf numFmtId="3" fontId="78" fillId="0" borderId="20" xfId="207" applyNumberFormat="1" applyFont="1" applyFill="1" applyBorder="1" applyAlignment="1">
      <alignment vertical="center"/>
    </xf>
    <xf numFmtId="170" fontId="78" fillId="0" borderId="20" xfId="118" applyNumberFormat="1" applyFont="1" applyFill="1" applyBorder="1" applyAlignment="1">
      <alignment vertical="center" shrinkToFit="1"/>
    </xf>
    <xf numFmtId="170" fontId="78" fillId="0" borderId="20" xfId="118" applyNumberFormat="1" applyFont="1" applyFill="1" applyBorder="1" applyAlignment="1">
      <alignment horizontal="right" vertical="center" shrinkToFit="1"/>
    </xf>
    <xf numFmtId="0" fontId="78" fillId="0" borderId="20" xfId="180" applyFont="1" applyFill="1" applyBorder="1" applyAlignment="1">
      <alignment wrapText="1"/>
    </xf>
    <xf numFmtId="3" fontId="78" fillId="0" borderId="20" xfId="180" applyNumberFormat="1" applyFont="1" applyFill="1" applyBorder="1" applyAlignment="1">
      <alignment horizontal="right" vertical="center" wrapText="1"/>
    </xf>
    <xf numFmtId="0" fontId="125" fillId="0" borderId="20" xfId="180" applyFont="1" applyFill="1" applyBorder="1"/>
    <xf numFmtId="0" fontId="78" fillId="0" borderId="22" xfId="180" applyFont="1" applyFill="1" applyBorder="1" applyAlignment="1">
      <alignment vertical="center" wrapText="1"/>
    </xf>
    <xf numFmtId="3" fontId="78" fillId="0" borderId="22" xfId="180" applyNumberFormat="1" applyFont="1" applyFill="1" applyBorder="1" applyAlignment="1">
      <alignment horizontal="center" vertical="center" wrapText="1"/>
    </xf>
    <xf numFmtId="3" fontId="78" fillId="0" borderId="22" xfId="180" applyNumberFormat="1" applyFont="1" applyFill="1" applyBorder="1" applyAlignment="1">
      <alignment vertical="center" wrapText="1"/>
    </xf>
    <xf numFmtId="0" fontId="125" fillId="0" borderId="22" xfId="180" applyFont="1" applyFill="1" applyBorder="1"/>
    <xf numFmtId="0" fontId="126" fillId="0" borderId="0" xfId="180" applyFont="1" applyFill="1"/>
    <xf numFmtId="0" fontId="126" fillId="0" borderId="0" xfId="180" applyFont="1" applyFill="1" applyAlignment="1">
      <alignment horizontal="center"/>
    </xf>
    <xf numFmtId="3" fontId="126" fillId="0" borderId="0" xfId="180" applyNumberFormat="1" applyFont="1" applyFill="1"/>
    <xf numFmtId="0" fontId="82" fillId="0" borderId="10" xfId="180" applyFont="1" applyFill="1" applyBorder="1" applyAlignment="1">
      <alignment horizontal="center" vertical="center" wrapText="1"/>
    </xf>
    <xf numFmtId="3" fontId="82" fillId="0" borderId="10" xfId="180" applyNumberFormat="1" applyFont="1" applyFill="1" applyBorder="1" applyAlignment="1">
      <alignment horizontal="center" vertical="center" wrapText="1"/>
    </xf>
    <xf numFmtId="0" fontId="4" fillId="0" borderId="10" xfId="180" applyFont="1" applyFill="1" applyBorder="1" applyAlignment="1">
      <alignment horizontal="center" vertical="center" wrapText="1"/>
    </xf>
    <xf numFmtId="3" fontId="78" fillId="0" borderId="10" xfId="180" applyNumberFormat="1" applyFont="1" applyFill="1" applyBorder="1" applyAlignment="1">
      <alignment horizontal="center" vertical="center" wrapText="1"/>
    </xf>
    <xf numFmtId="0" fontId="78" fillId="0" borderId="10" xfId="180" applyFont="1" applyFill="1" applyBorder="1" applyAlignment="1">
      <alignment horizontal="center" vertical="center" wrapText="1"/>
    </xf>
    <xf numFmtId="3" fontId="82" fillId="0" borderId="10" xfId="180" applyNumberFormat="1" applyFont="1" applyFill="1" applyBorder="1" applyAlignment="1">
      <alignment horizontal="right" vertical="center" wrapText="1"/>
    </xf>
    <xf numFmtId="206" fontId="82" fillId="0" borderId="10" xfId="212" applyNumberFormat="1" applyFont="1" applyFill="1" applyBorder="1" applyAlignment="1">
      <alignment horizontal="right" vertical="center" wrapText="1"/>
    </xf>
    <xf numFmtId="3" fontId="82" fillId="0" borderId="10" xfId="180" applyNumberFormat="1" applyFont="1" applyFill="1" applyBorder="1" applyAlignment="1">
      <alignment horizontal="left" vertical="center" wrapText="1"/>
    </xf>
    <xf numFmtId="0" fontId="82" fillId="0" borderId="10" xfId="180" applyFont="1" applyFill="1" applyBorder="1" applyAlignment="1">
      <alignment vertical="center" wrapText="1"/>
    </xf>
    <xf numFmtId="0" fontId="79" fillId="0" borderId="0" xfId="180" applyFont="1" applyFill="1" applyAlignment="1">
      <alignment vertical="center"/>
    </xf>
    <xf numFmtId="3" fontId="82" fillId="0" borderId="24" xfId="180" applyNumberFormat="1" applyFont="1" applyFill="1" applyBorder="1" applyAlignment="1">
      <alignment vertical="center" wrapText="1"/>
    </xf>
    <xf numFmtId="2" fontId="78" fillId="0" borderId="20" xfId="180" applyNumberFormat="1" applyFont="1" applyFill="1" applyBorder="1" applyAlignment="1">
      <alignment horizontal="center" vertical="center" wrapText="1"/>
    </xf>
    <xf numFmtId="0" fontId="125" fillId="0" borderId="20" xfId="180" applyFont="1" applyFill="1" applyBorder="1" applyAlignment="1">
      <alignment horizontal="center" vertical="center" wrapText="1"/>
    </xf>
    <xf numFmtId="0" fontId="4" fillId="0" borderId="0" xfId="180" applyFont="1" applyFill="1"/>
    <xf numFmtId="2" fontId="78" fillId="0" borderId="20" xfId="118" applyNumberFormat="1" applyFont="1" applyFill="1" applyBorder="1" applyAlignment="1">
      <alignment horizontal="center" vertical="center" wrapText="1" shrinkToFit="1"/>
    </xf>
    <xf numFmtId="2" fontId="78" fillId="0" borderId="20" xfId="118" applyNumberFormat="1" applyFont="1" applyFill="1" applyBorder="1" applyAlignment="1">
      <alignment horizontal="center" vertical="center" wrapText="1"/>
    </xf>
    <xf numFmtId="2" fontId="78" fillId="0" borderId="20" xfId="109" applyNumberFormat="1" applyFont="1" applyFill="1" applyBorder="1" applyAlignment="1">
      <alignment horizontal="center" vertical="center" wrapText="1"/>
    </xf>
    <xf numFmtId="0" fontId="125" fillId="0" borderId="20" xfId="180" applyFont="1" applyFill="1" applyBorder="1" applyAlignment="1">
      <alignment horizontal="center"/>
    </xf>
    <xf numFmtId="2" fontId="78" fillId="0" borderId="20" xfId="118" applyNumberFormat="1" applyFont="1" applyFill="1" applyBorder="1" applyAlignment="1">
      <alignment horizontal="right" vertical="center" wrapText="1"/>
    </xf>
    <xf numFmtId="2" fontId="78" fillId="0" borderId="22" xfId="180" applyNumberFormat="1" applyFont="1" applyFill="1" applyBorder="1" applyAlignment="1">
      <alignment horizontal="center" vertical="center" wrapText="1"/>
    </xf>
    <xf numFmtId="0" fontId="78" fillId="0" borderId="22" xfId="180" applyFont="1" applyFill="1" applyBorder="1" applyAlignment="1">
      <alignment horizontal="center" vertical="center" wrapText="1"/>
    </xf>
    <xf numFmtId="0" fontId="125" fillId="0" borderId="22" xfId="180" applyFont="1" applyFill="1" applyBorder="1" applyAlignment="1">
      <alignment horizontal="center" vertical="center" wrapText="1"/>
    </xf>
    <xf numFmtId="0" fontId="125" fillId="0" borderId="22" xfId="180" applyFont="1" applyFill="1" applyBorder="1" applyAlignment="1">
      <alignment horizontal="center"/>
    </xf>
    <xf numFmtId="0" fontId="126" fillId="0" borderId="0" xfId="180" applyFont="1" applyFill="1" applyBorder="1"/>
    <xf numFmtId="3" fontId="4" fillId="0" borderId="10" xfId="0" quotePrefix="1" applyNumberFormat="1" applyFont="1" applyFill="1" applyBorder="1" applyAlignment="1">
      <alignment horizontal="center" vertical="center" wrapText="1"/>
    </xf>
    <xf numFmtId="170" fontId="4" fillId="0" borderId="10" xfId="107" applyNumberFormat="1" applyFont="1" applyFill="1" applyBorder="1" applyAlignment="1">
      <alignment horizontal="center" vertical="center" wrapText="1"/>
    </xf>
    <xf numFmtId="170" fontId="4" fillId="0" borderId="10" xfId="118" applyNumberFormat="1" applyFont="1" applyFill="1" applyBorder="1" applyAlignment="1">
      <alignment horizontal="center" vertical="center" wrapText="1"/>
    </xf>
    <xf numFmtId="0" fontId="4" fillId="0" borderId="10" xfId="0" applyFont="1" applyFill="1" applyBorder="1" applyAlignment="1">
      <alignment horizontal="center" vertical="center"/>
    </xf>
    <xf numFmtId="3" fontId="24" fillId="0" borderId="10" xfId="0" quotePrefix="1" applyNumberFormat="1" applyFont="1" applyFill="1" applyBorder="1" applyAlignment="1">
      <alignment horizontal="center" vertical="center" wrapText="1"/>
    </xf>
    <xf numFmtId="170" fontId="24" fillId="0" borderId="10" xfId="118" applyNumberFormat="1" applyFont="1" applyFill="1" applyBorder="1" applyAlignment="1">
      <alignment horizontal="center" vertical="center" wrapText="1"/>
    </xf>
    <xf numFmtId="0" fontId="24" fillId="0" borderId="10" xfId="0" applyFont="1" applyFill="1" applyBorder="1" applyAlignment="1">
      <alignment horizontal="center" vertical="center"/>
    </xf>
    <xf numFmtId="0" fontId="24" fillId="0" borderId="10" xfId="0" applyFont="1" applyFill="1" applyBorder="1" applyAlignment="1">
      <alignment horizontal="left" vertical="center" wrapText="1"/>
    </xf>
    <xf numFmtId="3" fontId="24" fillId="0" borderId="10" xfId="0" applyNumberFormat="1" applyFont="1" applyFill="1" applyBorder="1" applyAlignment="1">
      <alignment horizontal="left" vertical="center" wrapText="1"/>
    </xf>
    <xf numFmtId="0" fontId="4" fillId="0" borderId="10" xfId="0" applyFont="1" applyFill="1" applyBorder="1" applyAlignment="1">
      <alignment horizontal="left" vertical="center" wrapText="1"/>
    </xf>
    <xf numFmtId="0" fontId="78" fillId="26" borderId="10" xfId="0" quotePrefix="1" applyFont="1" applyFill="1" applyBorder="1" applyAlignment="1">
      <alignment horizontal="left" vertical="center" wrapText="1"/>
    </xf>
    <xf numFmtId="0" fontId="126" fillId="0" borderId="0" xfId="0" applyFont="1" applyFill="1" applyAlignment="1">
      <alignment horizontal="center" vertical="center"/>
    </xf>
    <xf numFmtId="0" fontId="24" fillId="0" borderId="0" xfId="0" applyFont="1" applyFill="1" applyAlignment="1">
      <alignment vertical="center"/>
    </xf>
    <xf numFmtId="0" fontId="82" fillId="0" borderId="10" xfId="0" applyFont="1" applyFill="1" applyBorder="1" applyAlignment="1">
      <alignment horizontal="left" vertical="center" wrapText="1"/>
    </xf>
    <xf numFmtId="0" fontId="82" fillId="0" borderId="10" xfId="0" quotePrefix="1" applyFont="1" applyFill="1" applyBorder="1" applyAlignment="1">
      <alignment horizontal="left"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24" fillId="0" borderId="0" xfId="0" applyFont="1" applyFill="1" applyAlignment="1">
      <alignment horizontal="center" vertical="center" wrapText="1"/>
    </xf>
    <xf numFmtId="3" fontId="25" fillId="0" borderId="0" xfId="0" applyNumberFormat="1" applyFont="1" applyFill="1" applyAlignment="1">
      <alignment horizontal="center" vertical="center"/>
    </xf>
    <xf numFmtId="0" fontId="24" fillId="0" borderId="0" xfId="0" applyFont="1" applyFill="1" applyAlignment="1">
      <alignment horizontal="center" vertical="center"/>
    </xf>
    <xf numFmtId="3" fontId="24" fillId="0" borderId="0" xfId="0" applyNumberFormat="1" applyFont="1" applyFill="1" applyAlignment="1">
      <alignment horizontal="center" vertical="center"/>
    </xf>
    <xf numFmtId="0" fontId="24" fillId="0" borderId="0" xfId="0" applyFont="1" applyFill="1" applyBorder="1" applyAlignment="1">
      <alignment horizontal="center" vertical="center"/>
    </xf>
    <xf numFmtId="0" fontId="25" fillId="0" borderId="0" xfId="0" applyFont="1" applyFill="1" applyAlignment="1">
      <alignment horizontal="center" vertical="center"/>
    </xf>
    <xf numFmtId="0" fontId="28" fillId="0" borderId="0" xfId="0" applyFont="1" applyFill="1" applyBorder="1" applyAlignment="1">
      <alignment horizontal="center" vertical="center"/>
    </xf>
    <xf numFmtId="3" fontId="78" fillId="26" borderId="10" xfId="206" applyNumberFormat="1" applyFont="1" applyFill="1" applyBorder="1" applyAlignment="1">
      <alignment horizontal="left" vertical="center" wrapText="1"/>
    </xf>
    <xf numFmtId="0" fontId="78" fillId="0" borderId="10" xfId="0" applyFont="1" applyFill="1" applyBorder="1" applyAlignment="1">
      <alignment horizontal="left" vertical="center" wrapText="1"/>
    </xf>
    <xf numFmtId="0" fontId="83" fillId="0" borderId="10" xfId="0" applyFont="1" applyFill="1" applyBorder="1" applyAlignment="1">
      <alignment horizontal="center" vertical="center" wrapText="1"/>
    </xf>
    <xf numFmtId="0" fontId="71" fillId="0" borderId="10" xfId="0" applyFont="1" applyFill="1" applyBorder="1" applyAlignment="1">
      <alignment horizontal="center" vertical="center" wrapText="1"/>
    </xf>
    <xf numFmtId="166" fontId="4" fillId="0" borderId="0" xfId="107" applyFont="1" applyFill="1" applyAlignment="1">
      <alignment horizontal="center" vertical="center"/>
    </xf>
    <xf numFmtId="170" fontId="4" fillId="0" borderId="0" xfId="107" applyNumberFormat="1" applyFont="1" applyFill="1" applyAlignment="1">
      <alignment horizontal="center" vertical="center"/>
    </xf>
    <xf numFmtId="0" fontId="28" fillId="0" borderId="0" xfId="0" applyFont="1" applyFill="1" applyAlignment="1">
      <alignment vertical="center"/>
    </xf>
    <xf numFmtId="0" fontId="4" fillId="32" borderId="10" xfId="0" applyFont="1" applyFill="1" applyBorder="1" applyAlignment="1">
      <alignment horizontal="center" vertical="center" wrapText="1"/>
    </xf>
    <xf numFmtId="170" fontId="4" fillId="0" borderId="10" xfId="107" applyNumberFormat="1" applyFont="1" applyFill="1" applyBorder="1" applyAlignment="1">
      <alignment horizontal="center" vertical="center"/>
    </xf>
    <xf numFmtId="0" fontId="28" fillId="0" borderId="10" xfId="0" applyFont="1" applyFill="1" applyBorder="1" applyAlignment="1">
      <alignment horizontal="center" vertical="center"/>
    </xf>
    <xf numFmtId="0" fontId="28" fillId="0" borderId="0" xfId="0" applyFont="1" applyFill="1" applyAlignment="1">
      <alignment horizontal="center" vertical="center"/>
    </xf>
    <xf numFmtId="0" fontId="25" fillId="0" borderId="0" xfId="0" applyFont="1" applyFill="1" applyAlignment="1">
      <alignment horizontal="center" vertical="center" wrapText="1"/>
    </xf>
    <xf numFmtId="170" fontId="28" fillId="0" borderId="10" xfId="118" applyNumberFormat="1" applyFont="1" applyFill="1" applyBorder="1" applyAlignment="1">
      <alignment horizontal="center" vertical="center" wrapText="1"/>
    </xf>
    <xf numFmtId="0" fontId="28" fillId="0" borderId="10" xfId="0" applyFont="1" applyFill="1" applyBorder="1" applyAlignment="1">
      <alignment horizontal="left" vertical="center" wrapText="1"/>
    </xf>
    <xf numFmtId="3" fontId="82" fillId="26" borderId="10" xfId="206" quotePrefix="1" applyNumberFormat="1" applyFont="1" applyFill="1" applyBorder="1" applyAlignment="1">
      <alignment horizontal="left" vertical="center" wrapText="1"/>
    </xf>
    <xf numFmtId="1" fontId="78" fillId="26" borderId="10" xfId="206" quotePrefix="1" applyNumberFormat="1" applyFont="1" applyFill="1" applyBorder="1" applyAlignment="1">
      <alignment horizontal="left" vertical="center" wrapText="1"/>
    </xf>
    <xf numFmtId="0" fontId="4" fillId="0" borderId="0" xfId="0" quotePrefix="1" applyFont="1" applyFill="1" applyAlignment="1">
      <alignment vertical="center"/>
    </xf>
    <xf numFmtId="170" fontId="24" fillId="32" borderId="10" xfId="118" applyNumberFormat="1" applyFont="1" applyFill="1" applyBorder="1" applyAlignment="1">
      <alignment horizontal="center" vertical="center" wrapText="1"/>
    </xf>
    <xf numFmtId="0" fontId="24" fillId="27" borderId="10" xfId="0" applyFont="1" applyFill="1" applyBorder="1" applyAlignment="1">
      <alignment horizontal="center" vertical="center"/>
    </xf>
    <xf numFmtId="0" fontId="24" fillId="27" borderId="10" xfId="0" applyFont="1" applyFill="1" applyBorder="1" applyAlignment="1">
      <alignment horizontal="left" vertical="center" wrapText="1"/>
    </xf>
    <xf numFmtId="170" fontId="24" fillId="27" borderId="10" xfId="118" applyNumberFormat="1" applyFont="1" applyFill="1" applyBorder="1" applyAlignment="1">
      <alignment horizontal="center" vertical="center" wrapText="1"/>
    </xf>
    <xf numFmtId="170" fontId="24" fillId="27" borderId="10" xfId="107" applyNumberFormat="1" applyFont="1" applyFill="1" applyBorder="1" applyAlignment="1">
      <alignment horizontal="center" vertical="center"/>
    </xf>
    <xf numFmtId="0" fontId="24" fillId="27" borderId="10" xfId="0" applyFont="1" applyFill="1" applyBorder="1" applyAlignment="1">
      <alignment horizontal="center" vertical="center" wrapText="1"/>
    </xf>
    <xf numFmtId="0" fontId="24" fillId="32" borderId="10" xfId="0" applyFont="1" applyFill="1" applyBorder="1" applyAlignment="1">
      <alignment horizontal="center" vertical="center" wrapText="1"/>
    </xf>
    <xf numFmtId="3" fontId="24" fillId="32" borderId="10" xfId="0" applyNumberFormat="1" applyFont="1" applyFill="1" applyBorder="1" applyAlignment="1">
      <alignment horizontal="left" vertical="center" wrapText="1"/>
    </xf>
    <xf numFmtId="170" fontId="24" fillId="32" borderId="10" xfId="107" applyNumberFormat="1" applyFont="1" applyFill="1" applyBorder="1" applyAlignment="1">
      <alignment horizontal="center" vertical="center" wrapText="1"/>
    </xf>
    <xf numFmtId="0" fontId="4" fillId="27" borderId="10" xfId="0" applyFont="1" applyFill="1" applyBorder="1" applyAlignment="1">
      <alignment horizontal="center" vertical="center" wrapText="1"/>
    </xf>
    <xf numFmtId="170" fontId="24" fillId="27" borderId="10" xfId="107" applyNumberFormat="1" applyFont="1" applyFill="1" applyBorder="1" applyAlignment="1">
      <alignment horizontal="center" vertical="center" wrapText="1"/>
    </xf>
    <xf numFmtId="3" fontId="24" fillId="32" borderId="10" xfId="0" quotePrefix="1" applyNumberFormat="1" applyFont="1" applyFill="1" applyBorder="1" applyAlignment="1">
      <alignment horizontal="center" vertical="center" wrapText="1"/>
    </xf>
    <xf numFmtId="0" fontId="25" fillId="0" borderId="0" xfId="0" applyFont="1" applyFill="1" applyAlignment="1">
      <alignment vertical="center"/>
    </xf>
    <xf numFmtId="0" fontId="25" fillId="0" borderId="10" xfId="0" applyFont="1" applyFill="1" applyBorder="1" applyAlignment="1">
      <alignment horizontal="center" vertical="center"/>
    </xf>
    <xf numFmtId="0" fontId="24" fillId="32" borderId="10" xfId="208" applyNumberFormat="1" applyFont="1" applyFill="1" applyBorder="1" applyAlignment="1">
      <alignment horizontal="left" vertical="center" wrapText="1"/>
    </xf>
    <xf numFmtId="0" fontId="27" fillId="0" borderId="0" xfId="0" applyFont="1" applyFill="1" applyAlignment="1">
      <alignment horizontal="left" vertical="center"/>
    </xf>
    <xf numFmtId="0" fontId="27" fillId="0" borderId="0" xfId="0" applyFont="1" applyFill="1" applyAlignment="1">
      <alignment horizontal="center" vertical="center"/>
    </xf>
    <xf numFmtId="170" fontId="27" fillId="0" borderId="0" xfId="107" applyNumberFormat="1" applyFont="1" applyFill="1" applyAlignment="1">
      <alignment horizontal="center" vertical="center"/>
    </xf>
    <xf numFmtId="170" fontId="4" fillId="0" borderId="10" xfId="0" applyNumberFormat="1" applyFont="1" applyFill="1" applyBorder="1" applyAlignment="1">
      <alignment horizontal="center" vertical="center"/>
    </xf>
    <xf numFmtId="170" fontId="25" fillId="0" borderId="10" xfId="0" applyNumberFormat="1" applyFont="1" applyFill="1" applyBorder="1" applyAlignment="1">
      <alignment horizontal="center" vertical="center"/>
    </xf>
    <xf numFmtId="170" fontId="25" fillId="0" borderId="10" xfId="118" applyNumberFormat="1" applyFont="1" applyFill="1" applyBorder="1" applyAlignment="1">
      <alignment horizontal="center" vertical="center" wrapText="1"/>
    </xf>
    <xf numFmtId="3" fontId="4" fillId="0" borderId="10" xfId="209" applyNumberFormat="1" applyFont="1" applyFill="1" applyBorder="1" applyAlignment="1">
      <alignment horizontal="center" vertical="center" wrapText="1"/>
    </xf>
    <xf numFmtId="0" fontId="24" fillId="0" borderId="10" xfId="208" applyNumberFormat="1" applyFont="1" applyFill="1" applyBorder="1" applyAlignment="1">
      <alignment horizontal="left" vertical="center" wrapText="1"/>
    </xf>
    <xf numFmtId="10" fontId="4" fillId="0" borderId="10" xfId="212" applyNumberFormat="1" applyFont="1" applyFill="1" applyBorder="1" applyAlignment="1">
      <alignment horizontal="center" vertical="center" wrapText="1"/>
    </xf>
    <xf numFmtId="10" fontId="4" fillId="0" borderId="0" xfId="212" applyNumberFormat="1" applyFont="1" applyFill="1" applyAlignment="1">
      <alignment horizontal="center" vertical="center"/>
    </xf>
    <xf numFmtId="170" fontId="4" fillId="0" borderId="0" xfId="0" applyNumberFormat="1" applyFont="1" applyFill="1" applyAlignment="1">
      <alignment horizontal="center" vertical="center"/>
    </xf>
    <xf numFmtId="170" fontId="4" fillId="0" borderId="25" xfId="107" applyNumberFormat="1" applyFont="1" applyFill="1" applyBorder="1" applyAlignment="1">
      <alignment horizontal="center" vertical="center" wrapText="1"/>
    </xf>
    <xf numFmtId="211" fontId="4" fillId="0" borderId="10" xfId="107" applyNumberFormat="1" applyFont="1" applyFill="1" applyBorder="1" applyAlignment="1">
      <alignment horizontal="right" vertical="center" wrapText="1"/>
    </xf>
    <xf numFmtId="0" fontId="25" fillId="0" borderId="0" xfId="0" applyFont="1" applyFill="1" applyBorder="1" applyAlignment="1">
      <alignment horizontal="center" vertical="center"/>
    </xf>
    <xf numFmtId="170" fontId="25" fillId="0" borderId="0" xfId="0" applyNumberFormat="1" applyFont="1" applyFill="1" applyBorder="1" applyAlignment="1">
      <alignment horizontal="center" vertical="center"/>
    </xf>
    <xf numFmtId="170" fontId="25" fillId="0" borderId="0" xfId="118" applyNumberFormat="1" applyFont="1" applyFill="1" applyBorder="1" applyAlignment="1">
      <alignment horizontal="center" vertical="center" wrapText="1"/>
    </xf>
    <xf numFmtId="170" fontId="24" fillId="0" borderId="0" xfId="118" applyNumberFormat="1" applyFont="1" applyFill="1" applyBorder="1" applyAlignment="1">
      <alignment horizontal="center" vertical="center" wrapText="1"/>
    </xf>
    <xf numFmtId="0" fontId="4" fillId="0" borderId="10" xfId="188" applyFont="1" applyFill="1" applyBorder="1" applyAlignment="1">
      <alignment horizontal="center" vertical="center" wrapText="1"/>
    </xf>
    <xf numFmtId="10" fontId="25" fillId="0" borderId="10" xfId="212" applyNumberFormat="1" applyFont="1" applyFill="1" applyBorder="1" applyAlignment="1">
      <alignment horizontal="center" vertical="center"/>
    </xf>
    <xf numFmtId="170" fontId="4" fillId="0" borderId="0" xfId="212" applyNumberFormat="1" applyFont="1" applyFill="1" applyAlignment="1">
      <alignment horizontal="center" vertical="center"/>
    </xf>
    <xf numFmtId="0" fontId="27" fillId="0" borderId="0" xfId="0" applyFont="1"/>
    <xf numFmtId="0" fontId="27" fillId="0" borderId="10" xfId="0" applyFont="1" applyBorder="1"/>
    <xf numFmtId="0" fontId="85" fillId="0" borderId="10" xfId="0" applyFont="1" applyBorder="1"/>
    <xf numFmtId="0" fontId="85" fillId="0" borderId="10" xfId="0" applyFont="1" applyBorder="1" applyAlignment="1">
      <alignment horizontal="center"/>
    </xf>
    <xf numFmtId="211" fontId="27" fillId="0" borderId="0" xfId="107" applyNumberFormat="1" applyFont="1"/>
    <xf numFmtId="211" fontId="85" fillId="0" borderId="10" xfId="107" applyNumberFormat="1" applyFont="1" applyBorder="1" applyAlignment="1">
      <alignment horizontal="center"/>
    </xf>
    <xf numFmtId="211" fontId="27" fillId="0" borderId="10" xfId="107" applyNumberFormat="1" applyFont="1" applyBorder="1"/>
    <xf numFmtId="215" fontId="27" fillId="0" borderId="0" xfId="0" applyNumberFormat="1" applyFont="1"/>
    <xf numFmtId="0" fontId="85" fillId="0" borderId="0" xfId="0" applyFont="1"/>
    <xf numFmtId="0" fontId="67" fillId="0" borderId="10" xfId="0" applyFont="1" applyBorder="1"/>
    <xf numFmtId="0" fontId="67" fillId="0" borderId="0" xfId="0" applyFont="1"/>
    <xf numFmtId="10" fontId="85" fillId="0" borderId="10" xfId="212" applyNumberFormat="1" applyFont="1" applyBorder="1"/>
    <xf numFmtId="10" fontId="27" fillId="0" borderId="10" xfId="212" applyNumberFormat="1" applyFont="1" applyBorder="1"/>
    <xf numFmtId="10" fontId="67" fillId="0" borderId="10" xfId="212" applyNumberFormat="1" applyFont="1" applyBorder="1"/>
    <xf numFmtId="214" fontId="85" fillId="0" borderId="10" xfId="107" applyNumberFormat="1" applyFont="1" applyFill="1" applyBorder="1" applyAlignment="1">
      <alignment horizontal="center" vertical="center" wrapText="1"/>
    </xf>
    <xf numFmtId="214" fontId="67" fillId="0" borderId="10" xfId="107" applyNumberFormat="1" applyFont="1" applyFill="1" applyBorder="1" applyAlignment="1">
      <alignment horizontal="center" vertical="center" wrapText="1"/>
    </xf>
    <xf numFmtId="214" fontId="27" fillId="0" borderId="10" xfId="107" applyNumberFormat="1" applyFont="1" applyFill="1" applyBorder="1" applyAlignment="1">
      <alignment horizontal="center" vertical="center" wrapText="1"/>
    </xf>
    <xf numFmtId="211" fontId="27" fillId="0" borderId="10" xfId="107" applyNumberFormat="1" applyFont="1" applyFill="1" applyBorder="1" applyAlignment="1">
      <alignment horizontal="center" vertical="center" wrapText="1"/>
    </xf>
    <xf numFmtId="0" fontId="27" fillId="0" borderId="0" xfId="0" applyFont="1" applyAlignment="1">
      <alignment horizontal="center"/>
    </xf>
    <xf numFmtId="0" fontId="67" fillId="0" borderId="10" xfId="0" applyFont="1" applyBorder="1" applyAlignment="1">
      <alignment horizontal="center"/>
    </xf>
    <xf numFmtId="0" fontId="27" fillId="0" borderId="10" xfId="0" applyFont="1" applyBorder="1" applyAlignment="1">
      <alignment horizontal="center"/>
    </xf>
    <xf numFmtId="214" fontId="86" fillId="0" borderId="10" xfId="107" applyNumberFormat="1" applyFont="1" applyFill="1" applyBorder="1" applyAlignment="1">
      <alignment horizontal="center" vertical="center" wrapText="1"/>
    </xf>
    <xf numFmtId="212" fontId="27" fillId="0" borderId="10" xfId="107" applyNumberFormat="1" applyFont="1" applyBorder="1"/>
    <xf numFmtId="214" fontId="27" fillId="0" borderId="10" xfId="107" applyNumberFormat="1" applyFont="1" applyBorder="1"/>
    <xf numFmtId="211" fontId="67" fillId="0" borderId="10" xfId="107" applyNumberFormat="1" applyFont="1" applyFill="1" applyBorder="1" applyAlignment="1">
      <alignment horizontal="center" vertical="center" wrapText="1"/>
    </xf>
    <xf numFmtId="212" fontId="67" fillId="0" borderId="10" xfId="107" applyNumberFormat="1" applyFont="1" applyFill="1" applyBorder="1" applyAlignment="1">
      <alignment horizontal="center" vertical="center" wrapText="1"/>
    </xf>
    <xf numFmtId="212" fontId="27" fillId="0" borderId="10" xfId="107" applyNumberFormat="1" applyFont="1" applyFill="1" applyBorder="1" applyAlignment="1">
      <alignment horizontal="center" vertical="center" wrapText="1"/>
    </xf>
    <xf numFmtId="0" fontId="67" fillId="0" borderId="10" xfId="0" applyFont="1" applyBorder="1" applyAlignment="1">
      <alignment horizontal="center" vertical="center"/>
    </xf>
    <xf numFmtId="0" fontId="67" fillId="0" borderId="10" xfId="0" applyFont="1" applyBorder="1" applyAlignment="1">
      <alignment vertical="center" wrapText="1"/>
    </xf>
    <xf numFmtId="211" fontId="67" fillId="0" borderId="10" xfId="107" applyNumberFormat="1" applyFont="1" applyBorder="1" applyAlignment="1">
      <alignment vertical="center"/>
    </xf>
    <xf numFmtId="10" fontId="67" fillId="0" borderId="10" xfId="212" applyNumberFormat="1" applyFont="1" applyBorder="1" applyAlignment="1">
      <alignment vertical="center"/>
    </xf>
    <xf numFmtId="0" fontId="67" fillId="0" borderId="10" xfId="0" applyFont="1" applyBorder="1" applyAlignment="1">
      <alignment vertical="center"/>
    </xf>
    <xf numFmtId="0" fontId="67" fillId="0" borderId="0" xfId="0" applyFont="1" applyAlignment="1">
      <alignment vertical="center"/>
    </xf>
    <xf numFmtId="214" fontId="27" fillId="0" borderId="10" xfId="107" applyNumberFormat="1" applyFont="1" applyBorder="1" applyAlignment="1">
      <alignment horizontal="right"/>
    </xf>
    <xf numFmtId="214" fontId="85" fillId="0" borderId="0" xfId="107" applyNumberFormat="1" applyFont="1"/>
    <xf numFmtId="215" fontId="67" fillId="0" borderId="0" xfId="0" applyNumberFormat="1" applyFont="1"/>
    <xf numFmtId="10" fontId="86" fillId="0" borderId="10" xfId="212" applyNumberFormat="1" applyFont="1" applyBorder="1" applyAlignment="1">
      <alignment vertical="center"/>
    </xf>
    <xf numFmtId="214" fontId="85" fillId="0" borderId="10" xfId="107" applyNumberFormat="1" applyFont="1" applyFill="1" applyBorder="1" applyAlignment="1">
      <alignment horizontal="right" vertical="center" wrapText="1"/>
    </xf>
    <xf numFmtId="214" fontId="67" fillId="0" borderId="10" xfId="107" applyNumberFormat="1" applyFont="1" applyFill="1" applyBorder="1" applyAlignment="1">
      <alignment horizontal="right" vertical="center" wrapText="1"/>
    </xf>
    <xf numFmtId="214" fontId="86" fillId="0" borderId="10" xfId="107" applyNumberFormat="1" applyFont="1" applyFill="1" applyBorder="1" applyAlignment="1">
      <alignment horizontal="right" vertical="center" wrapText="1"/>
    </xf>
    <xf numFmtId="214" fontId="27" fillId="0" borderId="10" xfId="107" applyNumberFormat="1" applyFont="1" applyFill="1" applyBorder="1" applyAlignment="1">
      <alignment horizontal="right" vertical="center" wrapText="1"/>
    </xf>
    <xf numFmtId="211" fontId="27" fillId="0" borderId="10" xfId="107" applyNumberFormat="1" applyFont="1" applyFill="1" applyBorder="1" applyAlignment="1">
      <alignment horizontal="right" vertical="center" wrapText="1"/>
    </xf>
    <xf numFmtId="211" fontId="67" fillId="0" borderId="10" xfId="107" applyNumberFormat="1" applyFont="1" applyFill="1" applyBorder="1" applyAlignment="1">
      <alignment horizontal="right" vertical="center" wrapText="1"/>
    </xf>
    <xf numFmtId="211" fontId="67" fillId="0" borderId="10" xfId="107" applyNumberFormat="1" applyFont="1" applyBorder="1" applyAlignment="1">
      <alignment horizontal="right" vertical="center"/>
    </xf>
    <xf numFmtId="10" fontId="67" fillId="0" borderId="10" xfId="212" applyNumberFormat="1" applyFont="1" applyBorder="1" applyAlignment="1">
      <alignment horizontal="right" vertical="center"/>
    </xf>
    <xf numFmtId="0" fontId="67" fillId="0" borderId="10" xfId="0" applyFont="1" applyBorder="1" applyAlignment="1">
      <alignment horizontal="right" vertical="center"/>
    </xf>
    <xf numFmtId="212" fontId="67" fillId="0" borderId="10" xfId="107" applyNumberFormat="1" applyFont="1" applyFill="1" applyBorder="1" applyAlignment="1">
      <alignment horizontal="right" vertical="center" wrapText="1"/>
    </xf>
    <xf numFmtId="212" fontId="27" fillId="0" borderId="10" xfId="107" applyNumberFormat="1" applyFont="1" applyFill="1" applyBorder="1" applyAlignment="1">
      <alignment horizontal="right" vertical="center" wrapText="1"/>
    </xf>
    <xf numFmtId="10" fontId="86" fillId="0" borderId="10" xfId="212" applyNumberFormat="1" applyFont="1" applyBorder="1" applyAlignment="1">
      <alignment horizontal="right" vertical="center"/>
    </xf>
    <xf numFmtId="0" fontId="27" fillId="0" borderId="0" xfId="0" applyFont="1" applyAlignment="1">
      <alignment vertical="center"/>
    </xf>
    <xf numFmtId="0" fontId="27" fillId="0" borderId="0" xfId="0" applyFont="1" applyAlignment="1">
      <alignment horizontal="center" vertical="center"/>
    </xf>
    <xf numFmtId="211" fontId="27" fillId="0" borderId="0" xfId="107" applyNumberFormat="1" applyFont="1" applyAlignment="1">
      <alignment vertical="center"/>
    </xf>
    <xf numFmtId="0" fontId="85" fillId="0" borderId="10" xfId="0" applyFont="1" applyBorder="1" applyAlignment="1">
      <alignment horizontal="center" vertical="center"/>
    </xf>
    <xf numFmtId="211" fontId="85" fillId="0" borderId="10" xfId="107" applyNumberFormat="1" applyFont="1" applyBorder="1" applyAlignment="1">
      <alignment horizontal="center" vertical="center"/>
    </xf>
    <xf numFmtId="0" fontId="85" fillId="0" borderId="10" xfId="0" applyFont="1" applyBorder="1" applyAlignment="1">
      <alignment vertical="center"/>
    </xf>
    <xf numFmtId="10" fontId="85" fillId="0" borderId="10" xfId="212" applyNumberFormat="1" applyFont="1" applyBorder="1" applyAlignment="1">
      <alignment horizontal="right" vertical="center"/>
    </xf>
    <xf numFmtId="0" fontId="85" fillId="0" borderId="10" xfId="0" applyFont="1" applyBorder="1" applyAlignment="1">
      <alignment horizontal="right" vertical="center"/>
    </xf>
    <xf numFmtId="0" fontId="85" fillId="0" borderId="0" xfId="0" applyFont="1" applyAlignment="1">
      <alignment vertical="center"/>
    </xf>
    <xf numFmtId="0" fontId="27" fillId="0" borderId="10" xfId="0" applyFont="1" applyBorder="1" applyAlignment="1">
      <alignment horizontal="center" vertical="center"/>
    </xf>
    <xf numFmtId="0" fontId="27" fillId="0" borderId="10" xfId="0" applyFont="1" applyBorder="1" applyAlignment="1">
      <alignment vertical="center"/>
    </xf>
    <xf numFmtId="10" fontId="27" fillId="0" borderId="10" xfId="212" applyNumberFormat="1" applyFont="1" applyBorder="1" applyAlignment="1">
      <alignment horizontal="right" vertical="center"/>
    </xf>
    <xf numFmtId="0" fontId="27" fillId="0" borderId="10" xfId="0" applyFont="1" applyBorder="1" applyAlignment="1">
      <alignment horizontal="right" vertical="center"/>
    </xf>
    <xf numFmtId="211" fontId="27" fillId="0" borderId="10" xfId="107" applyNumberFormat="1" applyFont="1" applyBorder="1" applyAlignment="1">
      <alignment horizontal="right" vertical="center"/>
    </xf>
    <xf numFmtId="215" fontId="27" fillId="0" borderId="0" xfId="0" applyNumberFormat="1" applyFont="1" applyAlignment="1">
      <alignment vertical="center"/>
    </xf>
    <xf numFmtId="214" fontId="85" fillId="0" borderId="0" xfId="107" applyNumberFormat="1" applyFont="1" applyAlignment="1">
      <alignment vertical="center"/>
    </xf>
    <xf numFmtId="215" fontId="67" fillId="0" borderId="0" xfId="0" applyNumberFormat="1" applyFont="1" applyAlignment="1">
      <alignment vertical="center"/>
    </xf>
    <xf numFmtId="212" fontId="27" fillId="0" borderId="10" xfId="107" applyNumberFormat="1" applyFont="1" applyBorder="1" applyAlignment="1">
      <alignment horizontal="right" vertical="center"/>
    </xf>
    <xf numFmtId="214" fontId="27" fillId="0" borderId="10" xfId="107" applyNumberFormat="1" applyFont="1" applyBorder="1" applyAlignment="1">
      <alignment horizontal="right" vertical="center"/>
    </xf>
    <xf numFmtId="211" fontId="27" fillId="0" borderId="10" xfId="107" applyNumberFormat="1" applyFont="1" applyBorder="1" applyAlignment="1">
      <alignment vertical="center"/>
    </xf>
    <xf numFmtId="0" fontId="78" fillId="0" borderId="10" xfId="0" quotePrefix="1" applyFont="1" applyFill="1" applyBorder="1" applyAlignment="1">
      <alignment horizontal="left" vertical="center" wrapText="1"/>
    </xf>
    <xf numFmtId="170" fontId="24" fillId="0" borderId="10" xfId="113" applyNumberFormat="1" applyFont="1" applyFill="1" applyBorder="1" applyAlignment="1">
      <alignment horizontal="center" vertical="center" wrapText="1"/>
    </xf>
    <xf numFmtId="170" fontId="4" fillId="0" borderId="10" xfId="113" applyNumberFormat="1" applyFont="1" applyFill="1" applyBorder="1" applyAlignment="1">
      <alignment horizontal="center" vertical="center" wrapText="1"/>
    </xf>
    <xf numFmtId="170" fontId="4" fillId="0" borderId="10" xfId="113" applyNumberFormat="1" applyFont="1" applyFill="1" applyBorder="1" applyAlignment="1">
      <alignment horizontal="center" vertical="center"/>
    </xf>
    <xf numFmtId="170" fontId="4" fillId="0" borderId="10" xfId="113" applyNumberFormat="1" applyFont="1" applyFill="1" applyBorder="1" applyAlignment="1">
      <alignment horizontal="right" vertical="center"/>
    </xf>
    <xf numFmtId="170" fontId="103" fillId="0" borderId="10" xfId="118" applyNumberFormat="1" applyFont="1" applyFill="1" applyBorder="1" applyAlignment="1">
      <alignment horizontal="center" vertical="center" wrapText="1"/>
    </xf>
    <xf numFmtId="0" fontId="78" fillId="0" borderId="10" xfId="0" applyFont="1" applyFill="1" applyBorder="1" applyAlignment="1">
      <alignment vertical="center" wrapText="1"/>
    </xf>
    <xf numFmtId="10" fontId="24" fillId="0" borderId="10" xfId="212" applyNumberFormat="1" applyFont="1" applyFill="1" applyBorder="1" applyAlignment="1">
      <alignment horizontal="center" vertical="center" wrapText="1"/>
    </xf>
    <xf numFmtId="0" fontId="4" fillId="0" borderId="0" xfId="188" applyFont="1" applyFill="1" applyBorder="1" applyAlignment="1">
      <alignment horizontal="center" vertical="center" wrapText="1"/>
    </xf>
    <xf numFmtId="0" fontId="3" fillId="0" borderId="0" xfId="0" applyFont="1" applyFill="1" applyBorder="1" applyAlignment="1">
      <alignment horizontal="left" vertical="center"/>
    </xf>
    <xf numFmtId="10" fontId="25" fillId="0" borderId="0" xfId="212" applyNumberFormat="1" applyFont="1" applyFill="1" applyBorder="1" applyAlignment="1">
      <alignment horizontal="center" vertical="center"/>
    </xf>
    <xf numFmtId="170" fontId="28" fillId="0" borderId="0" xfId="0" applyNumberFormat="1" applyFont="1" applyFill="1" applyBorder="1" applyAlignment="1">
      <alignment horizontal="center" vertical="center"/>
    </xf>
    <xf numFmtId="0" fontId="28" fillId="0" borderId="10" xfId="188" applyFont="1" applyFill="1" applyBorder="1" applyAlignment="1">
      <alignment horizontal="center" vertical="center" wrapText="1"/>
    </xf>
    <xf numFmtId="170" fontId="28" fillId="0" borderId="10" xfId="0" applyNumberFormat="1" applyFont="1" applyFill="1" applyBorder="1" applyAlignment="1">
      <alignment horizontal="center" vertical="center"/>
    </xf>
    <xf numFmtId="213" fontId="4" fillId="0" borderId="10" xfId="118" applyNumberFormat="1" applyFont="1" applyFill="1" applyBorder="1" applyAlignment="1">
      <alignment horizontal="center" vertical="center" wrapText="1"/>
    </xf>
    <xf numFmtId="170" fontId="4" fillId="0" borderId="10" xfId="212" applyNumberFormat="1" applyFont="1" applyFill="1" applyBorder="1" applyAlignment="1">
      <alignment horizontal="center" vertical="center" wrapText="1"/>
    </xf>
    <xf numFmtId="170" fontId="102" fillId="0" borderId="10" xfId="118" applyNumberFormat="1" applyFont="1" applyFill="1" applyBorder="1" applyAlignment="1">
      <alignment horizontal="center" vertical="center" wrapText="1"/>
    </xf>
    <xf numFmtId="170" fontId="102" fillId="0" borderId="10" xfId="107" applyNumberFormat="1" applyFont="1" applyFill="1" applyBorder="1" applyAlignment="1">
      <alignment horizontal="center" vertical="center" wrapText="1"/>
    </xf>
    <xf numFmtId="0" fontId="109" fillId="0" borderId="10" xfId="0" applyFont="1" applyFill="1" applyBorder="1" applyAlignment="1">
      <alignment horizontal="left" vertical="center" wrapText="1"/>
    </xf>
    <xf numFmtId="170" fontId="126" fillId="0" borderId="0" xfId="113" applyNumberFormat="1" applyFont="1" applyFill="1" applyAlignment="1">
      <alignment horizontal="center" vertical="center"/>
    </xf>
    <xf numFmtId="170" fontId="4" fillId="0" borderId="0" xfId="113" applyNumberFormat="1" applyFont="1" applyFill="1" applyAlignment="1">
      <alignment horizontal="center" vertical="center"/>
    </xf>
    <xf numFmtId="170" fontId="103" fillId="0" borderId="10" xfId="113" applyNumberFormat="1" applyFont="1" applyFill="1" applyBorder="1" applyAlignment="1">
      <alignment horizontal="center" vertical="center" wrapText="1"/>
    </xf>
    <xf numFmtId="3" fontId="25" fillId="0" borderId="10" xfId="209" applyNumberFormat="1" applyFont="1" applyFill="1" applyBorder="1" applyAlignment="1">
      <alignment horizontal="center" vertical="center" wrapText="1"/>
    </xf>
    <xf numFmtId="3" fontId="25" fillId="0" borderId="0" xfId="209" applyNumberFormat="1" applyFont="1" applyFill="1" applyBorder="1" applyAlignment="1">
      <alignment horizontal="center" vertical="center" wrapText="1"/>
    </xf>
    <xf numFmtId="170" fontId="24" fillId="0" borderId="10" xfId="118" applyNumberFormat="1" applyFont="1" applyFill="1" applyBorder="1" applyAlignment="1">
      <alignment horizontal="left" vertical="center" wrapText="1"/>
    </xf>
    <xf numFmtId="170" fontId="4" fillId="0" borderId="10" xfId="118" applyNumberFormat="1" applyFont="1" applyFill="1" applyBorder="1" applyAlignment="1">
      <alignment horizontal="left" vertical="center" wrapText="1"/>
    </xf>
    <xf numFmtId="170" fontId="24" fillId="0" borderId="10" xfId="107" applyNumberFormat="1" applyFont="1" applyFill="1" applyBorder="1" applyAlignment="1">
      <alignment horizontal="left" vertical="center" wrapText="1"/>
    </xf>
    <xf numFmtId="170" fontId="102" fillId="0" borderId="10" xfId="118" applyNumberFormat="1" applyFont="1" applyFill="1" applyBorder="1" applyAlignment="1">
      <alignment horizontal="left" vertical="center" wrapText="1"/>
    </xf>
    <xf numFmtId="170" fontId="102" fillId="0" borderId="10" xfId="107" applyNumberFormat="1" applyFont="1" applyFill="1" applyBorder="1" applyAlignment="1">
      <alignment horizontal="left" vertical="center" wrapText="1"/>
    </xf>
    <xf numFmtId="0" fontId="24" fillId="0" borderId="0" xfId="0" applyFont="1" applyFill="1" applyAlignment="1">
      <alignment horizontal="left" vertical="center" wrapText="1"/>
    </xf>
    <xf numFmtId="0" fontId="25" fillId="0" borderId="0" xfId="0" applyFont="1" applyFill="1" applyAlignment="1">
      <alignment horizontal="left" vertical="center" wrapText="1"/>
    </xf>
    <xf numFmtId="3" fontId="24" fillId="0" borderId="10" xfId="0" applyNumberFormat="1" applyFont="1" applyFill="1" applyBorder="1" applyAlignment="1">
      <alignment horizontal="center" vertical="center" wrapText="1"/>
    </xf>
    <xf numFmtId="170" fontId="28" fillId="0" borderId="10" xfId="113" applyNumberFormat="1" applyFont="1" applyFill="1" applyBorder="1" applyAlignment="1">
      <alignment horizontal="center" vertical="center"/>
    </xf>
    <xf numFmtId="0" fontId="103" fillId="0" borderId="10" xfId="0" applyFont="1" applyFill="1" applyBorder="1" applyAlignment="1">
      <alignment horizontal="left" vertical="center" wrapText="1"/>
    </xf>
    <xf numFmtId="0" fontId="24" fillId="0" borderId="10" xfId="0" applyFont="1" applyFill="1" applyBorder="1" applyAlignment="1">
      <alignment horizontal="left" vertical="center"/>
    </xf>
    <xf numFmtId="170" fontId="103" fillId="0" borderId="10" xfId="113" applyNumberFormat="1" applyFont="1" applyFill="1" applyBorder="1" applyAlignment="1">
      <alignment horizontal="right" vertical="center"/>
    </xf>
    <xf numFmtId="3" fontId="103" fillId="0" borderId="10" xfId="209" applyNumberFormat="1" applyFont="1" applyFill="1" applyBorder="1" applyAlignment="1">
      <alignment horizontal="center" vertical="center" wrapText="1"/>
    </xf>
    <xf numFmtId="3" fontId="103" fillId="26" borderId="26" xfId="209" applyNumberFormat="1" applyFont="1" applyFill="1" applyBorder="1" applyAlignment="1">
      <alignment horizontal="center" vertical="center" wrapText="1"/>
    </xf>
    <xf numFmtId="3" fontId="103" fillId="26" borderId="10" xfId="209" applyNumberFormat="1" applyFont="1" applyFill="1" applyBorder="1" applyAlignment="1">
      <alignment horizontal="center" vertical="center" wrapText="1"/>
    </xf>
    <xf numFmtId="0" fontId="103" fillId="26" borderId="10" xfId="0" applyFont="1" applyFill="1" applyBorder="1" applyAlignment="1">
      <alignment horizontal="center" vertical="center" wrapText="1"/>
    </xf>
    <xf numFmtId="0" fontId="105" fillId="26" borderId="10" xfId="0" applyFont="1" applyFill="1" applyBorder="1" applyAlignment="1">
      <alignment horizontal="center" vertical="center" wrapText="1"/>
    </xf>
    <xf numFmtId="1" fontId="78" fillId="0" borderId="10" xfId="206" quotePrefix="1" applyNumberFormat="1" applyFont="1" applyFill="1" applyBorder="1" applyAlignment="1">
      <alignment horizontal="justify" vertical="center" wrapText="1"/>
    </xf>
    <xf numFmtId="0" fontId="82" fillId="0" borderId="10" xfId="0" quotePrefix="1" applyFont="1" applyFill="1" applyBorder="1" applyAlignment="1">
      <alignment horizontal="justify" vertical="center" wrapText="1"/>
    </xf>
    <xf numFmtId="0" fontId="82" fillId="0" borderId="10" xfId="0" quotePrefix="1" applyFont="1" applyFill="1" applyBorder="1" applyAlignment="1">
      <alignment horizontal="justify" vertical="top" wrapText="1"/>
    </xf>
    <xf numFmtId="0" fontId="78" fillId="0" borderId="10" xfId="0" quotePrefix="1" applyFont="1" applyFill="1" applyBorder="1" applyAlignment="1">
      <alignment horizontal="justify" vertical="center" wrapText="1"/>
    </xf>
    <xf numFmtId="1" fontId="82" fillId="0" borderId="10" xfId="206" applyNumberFormat="1" applyFont="1" applyFill="1" applyBorder="1" applyAlignment="1">
      <alignment horizontal="justify" vertical="center" wrapText="1"/>
    </xf>
    <xf numFmtId="49" fontId="78" fillId="0" borderId="10" xfId="0" quotePrefix="1" applyNumberFormat="1" applyFont="1" applyFill="1" applyBorder="1" applyAlignment="1">
      <alignment horizontal="justify" vertical="center" wrapText="1"/>
    </xf>
    <xf numFmtId="0" fontId="82" fillId="0" borderId="10" xfId="0" applyFont="1" applyFill="1" applyBorder="1" applyAlignment="1">
      <alignment horizontal="justify" vertical="center" wrapText="1"/>
    </xf>
    <xf numFmtId="3" fontId="82" fillId="0" borderId="10" xfId="206" quotePrefix="1" applyNumberFormat="1" applyFont="1" applyFill="1" applyBorder="1" applyAlignment="1">
      <alignment horizontal="justify" vertical="center" wrapText="1"/>
    </xf>
    <xf numFmtId="3" fontId="82" fillId="0" borderId="10" xfId="206" quotePrefix="1" applyNumberFormat="1" applyFont="1" applyFill="1" applyBorder="1" applyAlignment="1">
      <alignment horizontal="left" vertical="center" wrapText="1"/>
    </xf>
    <xf numFmtId="0" fontId="85" fillId="0" borderId="10" xfId="0" applyFont="1" applyBorder="1" applyAlignment="1">
      <alignment horizontal="left" vertical="center" wrapText="1"/>
    </xf>
    <xf numFmtId="1" fontId="85" fillId="0" borderId="10" xfId="206" applyNumberFormat="1" applyFont="1" applyFill="1" applyBorder="1" applyAlignment="1">
      <alignment vertical="center" wrapText="1" shrinkToFit="1"/>
    </xf>
    <xf numFmtId="0" fontId="113" fillId="0" borderId="0" xfId="0" applyFont="1" applyFill="1" applyAlignment="1">
      <alignment horizontal="left" vertical="center" wrapText="1"/>
    </xf>
    <xf numFmtId="1" fontId="85" fillId="0" borderId="10" xfId="206" applyNumberFormat="1" applyFont="1" applyFill="1" applyBorder="1" applyAlignment="1">
      <alignment horizontal="left" vertical="center" wrapText="1"/>
    </xf>
    <xf numFmtId="0" fontId="82" fillId="0" borderId="10" xfId="0" applyFont="1" applyFill="1" applyBorder="1" applyAlignment="1">
      <alignment vertical="center" wrapText="1"/>
    </xf>
    <xf numFmtId="0" fontId="27" fillId="0" borderId="10" xfId="0" applyFont="1" applyFill="1" applyBorder="1" applyAlignment="1">
      <alignment horizontal="left" vertical="center" wrapText="1"/>
    </xf>
    <xf numFmtId="0" fontId="85" fillId="0" borderId="10" xfId="0" applyFont="1" applyBorder="1" applyAlignment="1">
      <alignment horizontal="center" vertical="center" wrapText="1"/>
    </xf>
    <xf numFmtId="0" fontId="27" fillId="0" borderId="10" xfId="0" applyFont="1" applyBorder="1" applyAlignment="1">
      <alignment horizontal="center" vertical="center" wrapText="1"/>
    </xf>
    <xf numFmtId="170" fontId="85" fillId="0" borderId="10" xfId="111" applyNumberFormat="1" applyFont="1" applyBorder="1" applyAlignment="1">
      <alignment horizontal="center" vertical="center" wrapText="1"/>
    </xf>
    <xf numFmtId="170" fontId="27" fillId="0" borderId="10" xfId="111" applyNumberFormat="1" applyFont="1" applyBorder="1" applyAlignment="1">
      <alignment horizontal="center" vertical="center" wrapText="1"/>
    </xf>
    <xf numFmtId="3" fontId="102" fillId="0" borderId="10" xfId="209" applyNumberFormat="1" applyFont="1" applyFill="1" applyBorder="1" applyAlignment="1">
      <alignment horizontal="center" vertical="center" wrapText="1"/>
    </xf>
    <xf numFmtId="10" fontId="24" fillId="0" borderId="0" xfId="212" applyNumberFormat="1" applyFont="1" applyFill="1" applyAlignment="1">
      <alignment horizontal="center" vertical="center"/>
    </xf>
    <xf numFmtId="170" fontId="24" fillId="0" borderId="10" xfId="107" applyNumberFormat="1" applyFont="1" applyFill="1" applyBorder="1" applyAlignment="1">
      <alignment horizontal="center" vertical="center"/>
    </xf>
    <xf numFmtId="170" fontId="85" fillId="0" borderId="10" xfId="111" applyNumberFormat="1" applyFont="1" applyFill="1" applyBorder="1" applyAlignment="1">
      <alignment horizontal="center" vertical="center" wrapText="1"/>
    </xf>
    <xf numFmtId="3" fontId="4" fillId="26" borderId="10" xfId="206" quotePrefix="1" applyNumberFormat="1" applyFont="1" applyFill="1" applyBorder="1" applyAlignment="1">
      <alignment horizontal="center" vertical="center" wrapText="1"/>
    </xf>
    <xf numFmtId="0" fontId="4" fillId="26" borderId="10" xfId="186" applyFont="1" applyFill="1" applyBorder="1" applyAlignment="1">
      <alignment horizontal="center" vertical="center" wrapText="1"/>
    </xf>
    <xf numFmtId="1" fontId="4" fillId="0" borderId="10" xfId="0" applyNumberFormat="1" applyFont="1" applyFill="1" applyBorder="1" applyAlignment="1">
      <alignment horizontal="center" vertical="center"/>
    </xf>
    <xf numFmtId="0" fontId="4" fillId="26" borderId="10" xfId="0" applyFont="1" applyFill="1" applyBorder="1" applyAlignment="1">
      <alignment horizontal="center" vertical="center"/>
    </xf>
    <xf numFmtId="0" fontId="4" fillId="0" borderId="10" xfId="0" applyFont="1" applyBorder="1" applyAlignment="1">
      <alignment horizontal="left" vertical="center" wrapText="1"/>
    </xf>
    <xf numFmtId="170" fontId="4" fillId="26" borderId="10" xfId="107" applyNumberFormat="1" applyFont="1" applyFill="1" applyBorder="1" applyAlignment="1">
      <alignment horizontal="left" vertical="center" wrapText="1"/>
    </xf>
    <xf numFmtId="0" fontId="4" fillId="0" borderId="10" xfId="0" applyFont="1" applyBorder="1" applyAlignment="1">
      <alignment vertical="center" wrapText="1"/>
    </xf>
    <xf numFmtId="0" fontId="99" fillId="0" borderId="10" xfId="0" applyFont="1" applyBorder="1" applyAlignment="1">
      <alignment horizontal="left" vertical="center" wrapText="1"/>
    </xf>
    <xf numFmtId="0" fontId="107" fillId="26" borderId="10" xfId="0" applyFont="1" applyFill="1" applyBorder="1" applyAlignment="1">
      <alignment horizontal="center" vertical="center" wrapText="1"/>
    </xf>
    <xf numFmtId="0" fontId="65" fillId="26" borderId="10" xfId="0" applyFont="1" applyFill="1" applyBorder="1" applyAlignment="1">
      <alignment horizontal="center" vertical="center" wrapText="1"/>
    </xf>
    <xf numFmtId="175" fontId="4" fillId="0" borderId="10" xfId="212" applyNumberFormat="1" applyFont="1" applyFill="1" applyBorder="1" applyAlignment="1">
      <alignment horizontal="center" vertical="center" wrapText="1"/>
    </xf>
    <xf numFmtId="170" fontId="27" fillId="0" borderId="10" xfId="111" applyNumberFormat="1" applyFont="1" applyFill="1" applyBorder="1" applyAlignment="1">
      <alignment horizontal="center" vertical="center" wrapText="1"/>
    </xf>
    <xf numFmtId="3" fontId="103" fillId="26" borderId="1" xfId="209" applyNumberFormat="1" applyFont="1" applyFill="1" applyBorder="1" applyAlignment="1">
      <alignment horizontal="center" vertical="center" wrapText="1"/>
    </xf>
    <xf numFmtId="166" fontId="4" fillId="26" borderId="23" xfId="107" applyFont="1" applyFill="1" applyBorder="1" applyAlignment="1">
      <alignment horizontal="center" vertical="center" wrapText="1"/>
    </xf>
    <xf numFmtId="166" fontId="4" fillId="26" borderId="0" xfId="107" applyFont="1" applyFill="1" applyBorder="1" applyAlignment="1">
      <alignment horizontal="center" vertical="center" wrapText="1"/>
    </xf>
    <xf numFmtId="170" fontId="4" fillId="26" borderId="0" xfId="107" applyNumberFormat="1" applyFont="1" applyFill="1" applyAlignment="1">
      <alignment horizontal="center" vertical="center"/>
    </xf>
    <xf numFmtId="170" fontId="24" fillId="26" borderId="0" xfId="107" applyNumberFormat="1" applyFont="1" applyFill="1" applyAlignment="1">
      <alignment horizontal="center" vertical="center"/>
    </xf>
    <xf numFmtId="166" fontId="102" fillId="26" borderId="10" xfId="107" applyFont="1" applyFill="1" applyBorder="1" applyAlignment="1">
      <alignment horizontal="center" vertical="center" wrapText="1"/>
    </xf>
    <xf numFmtId="3" fontId="4" fillId="26" borderId="0" xfId="0" applyNumberFormat="1" applyFont="1" applyFill="1" applyAlignment="1">
      <alignment horizontal="left"/>
    </xf>
    <xf numFmtId="3" fontId="102" fillId="26" borderId="10" xfId="107" applyNumberFormat="1" applyFont="1" applyFill="1" applyBorder="1" applyAlignment="1">
      <alignment horizontal="center" vertical="center" wrapText="1"/>
    </xf>
    <xf numFmtId="3" fontId="102" fillId="26" borderId="27" xfId="107" applyNumberFormat="1" applyFont="1" applyFill="1" applyBorder="1" applyAlignment="1">
      <alignment horizontal="center" vertical="center" wrapText="1"/>
    </xf>
    <xf numFmtId="3" fontId="102" fillId="26" borderId="1" xfId="107" applyNumberFormat="1" applyFont="1" applyFill="1" applyBorder="1" applyAlignment="1">
      <alignment horizontal="center" vertical="center" wrapText="1"/>
    </xf>
    <xf numFmtId="3" fontId="102" fillId="26" borderId="4" xfId="107" applyNumberFormat="1" applyFont="1" applyFill="1" applyBorder="1" applyAlignment="1">
      <alignment horizontal="center" vertical="center" wrapText="1"/>
    </xf>
    <xf numFmtId="3" fontId="3" fillId="26" borderId="0" xfId="0" applyNumberFormat="1" applyFont="1" applyFill="1" applyBorder="1" applyAlignment="1">
      <alignment horizontal="center" vertical="center" wrapText="1"/>
    </xf>
    <xf numFmtId="3" fontId="24" fillId="26" borderId="0" xfId="0" applyNumberFormat="1" applyFont="1" applyFill="1" applyAlignment="1">
      <alignment horizontal="center" vertical="center"/>
    </xf>
    <xf numFmtId="3" fontId="24" fillId="26" borderId="10" xfId="0" applyNumberFormat="1" applyFont="1" applyFill="1" applyBorder="1" applyAlignment="1">
      <alignment horizontal="center" vertical="center" wrapText="1"/>
    </xf>
    <xf numFmtId="3" fontId="102" fillId="26" borderId="15" xfId="107" applyNumberFormat="1" applyFont="1" applyFill="1" applyBorder="1" applyAlignment="1">
      <alignment horizontal="center" vertical="center" wrapText="1"/>
    </xf>
    <xf numFmtId="3" fontId="102" fillId="26" borderId="6" xfId="107" applyNumberFormat="1" applyFont="1" applyFill="1" applyBorder="1" applyAlignment="1">
      <alignment horizontal="center" vertical="center" wrapText="1"/>
    </xf>
    <xf numFmtId="3" fontId="102" fillId="26" borderId="28" xfId="107" applyNumberFormat="1" applyFont="1" applyFill="1" applyBorder="1" applyAlignment="1">
      <alignment horizontal="center" vertical="center" wrapText="1"/>
    </xf>
    <xf numFmtId="3" fontId="102" fillId="26" borderId="10" xfId="0" applyNumberFormat="1" applyFont="1" applyFill="1" applyBorder="1" applyAlignment="1">
      <alignment horizontal="center" vertical="center" wrapText="1"/>
    </xf>
    <xf numFmtId="3" fontId="24" fillId="26" borderId="0" xfId="0" applyNumberFormat="1" applyFont="1" applyFill="1" applyAlignment="1">
      <alignment horizontal="right"/>
    </xf>
    <xf numFmtId="3" fontId="24" fillId="26" borderId="0" xfId="0" applyNumberFormat="1" applyFont="1" applyFill="1" applyAlignment="1">
      <alignment horizontal="left"/>
    </xf>
    <xf numFmtId="3" fontId="4" fillId="26" borderId="0" xfId="0" applyNumberFormat="1" applyFont="1" applyFill="1" applyAlignment="1">
      <alignment horizontal="right"/>
    </xf>
    <xf numFmtId="3" fontId="25" fillId="26" borderId="0" xfId="0" applyNumberFormat="1" applyFont="1" applyFill="1" applyAlignment="1">
      <alignment horizontal="center" vertical="center"/>
    </xf>
    <xf numFmtId="0" fontId="24" fillId="0" borderId="0" xfId="0" applyFont="1" applyAlignment="1">
      <alignment horizontal="center" vertical="center" wrapText="1"/>
    </xf>
    <xf numFmtId="0" fontId="24" fillId="0" borderId="0" xfId="0" applyFont="1" applyAlignment="1">
      <alignment horizontal="center" vertical="distributed" wrapText="1"/>
    </xf>
    <xf numFmtId="0" fontId="25" fillId="0" borderId="0" xfId="0" applyFont="1" applyAlignment="1">
      <alignment horizontal="center" wrapText="1"/>
    </xf>
    <xf numFmtId="0" fontId="76" fillId="0" borderId="0" xfId="0" applyFont="1" applyAlignment="1">
      <alignment horizontal="center" vertical="center" wrapText="1"/>
    </xf>
    <xf numFmtId="3" fontId="4" fillId="26" borderId="0" xfId="0" applyNumberFormat="1" applyFont="1" applyFill="1" applyAlignment="1">
      <alignment horizontal="center"/>
    </xf>
    <xf numFmtId="3" fontId="24" fillId="26" borderId="0" xfId="0" applyNumberFormat="1" applyFont="1" applyFill="1" applyAlignment="1">
      <alignment horizontal="center"/>
    </xf>
    <xf numFmtId="0" fontId="72" fillId="0" borderId="10" xfId="0" applyFont="1" applyBorder="1" applyAlignment="1">
      <alignment horizontal="center" vertical="center" wrapText="1"/>
    </xf>
    <xf numFmtId="0" fontId="102" fillId="0" borderId="10" xfId="0" applyFont="1" applyBorder="1" applyAlignment="1">
      <alignment horizontal="center" vertical="center" wrapText="1"/>
    </xf>
    <xf numFmtId="0" fontId="24" fillId="0" borderId="10" xfId="0" applyFont="1" applyBorder="1" applyAlignment="1">
      <alignment horizontal="center" vertical="center" wrapText="1"/>
    </xf>
    <xf numFmtId="0" fontId="66" fillId="0" borderId="0" xfId="0" applyFont="1" applyAlignment="1">
      <alignment horizontal="left" vertical="center" wrapText="1"/>
    </xf>
    <xf numFmtId="0" fontId="73" fillId="0" borderId="0" xfId="0" applyFont="1" applyAlignment="1">
      <alignment horizontal="center" vertical="center" wrapText="1"/>
    </xf>
    <xf numFmtId="0" fontId="78" fillId="0" borderId="0" xfId="0" applyFont="1" applyAlignment="1">
      <alignment horizontal="left" vertical="center" wrapText="1"/>
    </xf>
    <xf numFmtId="0" fontId="27" fillId="0" borderId="0" xfId="0" applyFont="1" applyAlignment="1">
      <alignment horizontal="center" vertical="center" wrapText="1"/>
    </xf>
    <xf numFmtId="0" fontId="26" fillId="0" borderId="0" xfId="0" applyFont="1" applyAlignment="1">
      <alignment horizontal="center" vertical="center" wrapText="1"/>
    </xf>
    <xf numFmtId="0" fontId="24" fillId="26" borderId="0" xfId="0" applyFont="1" applyFill="1" applyAlignment="1">
      <alignment horizontal="center" vertical="center"/>
    </xf>
    <xf numFmtId="0" fontId="24" fillId="26" borderId="10" xfId="0" applyFont="1" applyFill="1" applyBorder="1" applyAlignment="1">
      <alignment horizontal="center" vertical="center" wrapText="1"/>
    </xf>
    <xf numFmtId="10" fontId="24" fillId="26" borderId="10" xfId="0" applyNumberFormat="1" applyFont="1" applyFill="1" applyBorder="1" applyAlignment="1">
      <alignment horizontal="center" vertical="center" wrapText="1"/>
    </xf>
    <xf numFmtId="3" fontId="123" fillId="26" borderId="10" xfId="0" applyNumberFormat="1" applyFont="1" applyFill="1" applyBorder="1" applyAlignment="1">
      <alignment horizontal="center" vertical="center" wrapText="1"/>
    </xf>
    <xf numFmtId="3" fontId="24" fillId="26" borderId="15" xfId="0" applyNumberFormat="1" applyFont="1" applyFill="1" applyBorder="1" applyAlignment="1">
      <alignment horizontal="center" vertical="center" wrapText="1"/>
    </xf>
    <xf numFmtId="3" fontId="24" fillId="26" borderId="6" xfId="0" applyNumberFormat="1" applyFont="1" applyFill="1" applyBorder="1" applyAlignment="1">
      <alignment horizontal="center" vertical="center" wrapText="1"/>
    </xf>
    <xf numFmtId="3" fontId="24" fillId="26" borderId="28" xfId="0" applyNumberFormat="1" applyFont="1" applyFill="1" applyBorder="1" applyAlignment="1">
      <alignment horizontal="center" vertical="center" wrapText="1"/>
    </xf>
    <xf numFmtId="3" fontId="24" fillId="26" borderId="27" xfId="0" applyNumberFormat="1" applyFont="1" applyFill="1" applyBorder="1" applyAlignment="1">
      <alignment horizontal="center" vertical="center" wrapText="1"/>
    </xf>
    <xf numFmtId="3" fontId="24" fillId="26" borderId="4" xfId="0" applyNumberFormat="1" applyFont="1" applyFill="1" applyBorder="1" applyAlignment="1">
      <alignment horizontal="center" vertical="center" wrapText="1"/>
    </xf>
    <xf numFmtId="3" fontId="24" fillId="26" borderId="1" xfId="0" applyNumberFormat="1" applyFont="1" applyFill="1" applyBorder="1" applyAlignment="1">
      <alignment horizontal="center" vertical="center" wrapText="1"/>
    </xf>
    <xf numFmtId="0" fontId="24" fillId="26" borderId="15" xfId="0" applyFont="1" applyFill="1" applyBorder="1" applyAlignment="1">
      <alignment horizontal="center" vertical="center" wrapText="1"/>
    </xf>
    <xf numFmtId="0" fontId="24" fillId="26" borderId="6" xfId="0" applyFont="1" applyFill="1" applyBorder="1" applyAlignment="1">
      <alignment horizontal="center" vertical="center" wrapText="1"/>
    </xf>
    <xf numFmtId="0" fontId="24" fillId="26" borderId="28" xfId="0" applyFont="1" applyFill="1" applyBorder="1" applyAlignment="1">
      <alignment horizontal="center" vertical="center" wrapText="1"/>
    </xf>
    <xf numFmtId="3" fontId="24" fillId="26" borderId="29" xfId="0" applyNumberFormat="1" applyFont="1" applyFill="1" applyBorder="1" applyAlignment="1">
      <alignment horizontal="center" vertical="center" wrapText="1"/>
    </xf>
    <xf numFmtId="3" fontId="24" fillId="26" borderId="30" xfId="0" applyNumberFormat="1" applyFont="1" applyFill="1" applyBorder="1" applyAlignment="1">
      <alignment horizontal="center" vertical="center" wrapText="1"/>
    </xf>
    <xf numFmtId="3" fontId="123" fillId="26" borderId="1" xfId="0" applyNumberFormat="1" applyFont="1" applyFill="1" applyBorder="1" applyAlignment="1">
      <alignment horizontal="center" vertical="center" wrapText="1"/>
    </xf>
    <xf numFmtId="3" fontId="123" fillId="26" borderId="4" xfId="0" applyNumberFormat="1" applyFont="1" applyFill="1" applyBorder="1" applyAlignment="1">
      <alignment horizontal="center" vertical="center" wrapText="1"/>
    </xf>
    <xf numFmtId="3" fontId="123" fillId="26" borderId="29" xfId="0" applyNumberFormat="1" applyFont="1" applyFill="1" applyBorder="1" applyAlignment="1">
      <alignment horizontal="center" vertical="center" wrapText="1"/>
    </xf>
    <xf numFmtId="3" fontId="123" fillId="26" borderId="30" xfId="0" applyNumberFormat="1" applyFont="1" applyFill="1" applyBorder="1" applyAlignment="1">
      <alignment horizontal="center" vertical="center" wrapText="1"/>
    </xf>
    <xf numFmtId="0" fontId="24" fillId="26" borderId="0" xfId="0" applyFont="1" applyFill="1" applyBorder="1" applyAlignment="1">
      <alignment horizontal="center"/>
    </xf>
    <xf numFmtId="0" fontId="28" fillId="26" borderId="0" xfId="0" applyFont="1" applyFill="1" applyBorder="1" applyAlignment="1">
      <alignment horizontal="center"/>
    </xf>
    <xf numFmtId="0" fontId="25" fillId="26" borderId="0" xfId="0" applyFont="1" applyFill="1" applyAlignment="1">
      <alignment horizontal="left" vertical="top"/>
    </xf>
    <xf numFmtId="0" fontId="4" fillId="0" borderId="2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5" fillId="0" borderId="0" xfId="0" applyFont="1" applyFill="1" applyAlignment="1">
      <alignment horizontal="center" vertical="center"/>
    </xf>
    <xf numFmtId="0" fontId="24" fillId="0" borderId="0" xfId="0" applyFont="1" applyFill="1" applyAlignment="1">
      <alignment horizontal="center" vertical="center"/>
    </xf>
    <xf numFmtId="3" fontId="4" fillId="0" borderId="27"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6" xfId="0" applyFont="1" applyFill="1" applyBorder="1" applyAlignment="1">
      <alignment horizontal="center" vertical="center" wrapText="1"/>
    </xf>
    <xf numFmtId="170" fontId="4" fillId="0" borderId="27" xfId="107" applyNumberFormat="1" applyFont="1" applyFill="1" applyBorder="1" applyAlignment="1">
      <alignment horizontal="center" vertical="center" wrapText="1"/>
    </xf>
    <xf numFmtId="170" fontId="4" fillId="0" borderId="1" xfId="107" applyNumberFormat="1" applyFont="1" applyFill="1" applyBorder="1" applyAlignment="1">
      <alignment horizontal="center" vertical="center" wrapText="1"/>
    </xf>
    <xf numFmtId="170" fontId="4" fillId="0" borderId="4" xfId="107" applyNumberFormat="1" applyFont="1" applyFill="1" applyBorder="1" applyAlignment="1">
      <alignment horizontal="center" vertical="center" wrapText="1"/>
    </xf>
    <xf numFmtId="0" fontId="28" fillId="0" borderId="0" xfId="0" applyFont="1" applyFill="1" applyBorder="1" applyAlignment="1">
      <alignment horizontal="center" vertical="center"/>
    </xf>
    <xf numFmtId="0" fontId="24" fillId="0" borderId="0" xfId="0" applyFont="1" applyFill="1" applyAlignment="1">
      <alignment horizontal="center" vertical="center" wrapText="1"/>
    </xf>
    <xf numFmtId="3" fontId="4" fillId="0" borderId="10" xfId="0" applyNumberFormat="1" applyFont="1" applyFill="1" applyBorder="1" applyAlignment="1">
      <alignment horizontal="center" vertical="center" wrapText="1"/>
    </xf>
    <xf numFmtId="3" fontId="4" fillId="0" borderId="15" xfId="0" applyNumberFormat="1" applyFont="1" applyFill="1" applyBorder="1" applyAlignment="1">
      <alignment horizontal="center" vertical="center" wrapText="1"/>
    </xf>
    <xf numFmtId="3" fontId="4" fillId="0" borderId="6" xfId="0" applyNumberFormat="1" applyFont="1" applyFill="1" applyBorder="1" applyAlignment="1">
      <alignment horizontal="center" vertical="center" wrapText="1"/>
    </xf>
    <xf numFmtId="3" fontId="4" fillId="0" borderId="28" xfId="0" applyNumberFormat="1" applyFont="1" applyFill="1" applyBorder="1" applyAlignment="1">
      <alignment horizontal="center" vertical="center" wrapText="1"/>
    </xf>
    <xf numFmtId="0" fontId="4" fillId="0" borderId="27" xfId="0" applyFont="1" applyFill="1" applyBorder="1" applyAlignment="1">
      <alignment horizontal="left" vertical="center" wrapText="1"/>
    </xf>
    <xf numFmtId="0" fontId="4" fillId="0" borderId="4" xfId="0" applyFont="1" applyFill="1" applyBorder="1" applyAlignment="1">
      <alignment horizontal="left" vertical="center" wrapText="1"/>
    </xf>
    <xf numFmtId="0" fontId="84" fillId="0" borderId="0" xfId="0" applyFont="1" applyFill="1" applyAlignment="1">
      <alignment horizontal="center" vertical="center"/>
    </xf>
    <xf numFmtId="0" fontId="24" fillId="0" borderId="0" xfId="0" applyFont="1" applyFill="1" applyBorder="1" applyAlignment="1">
      <alignment horizontal="center" vertical="center"/>
    </xf>
    <xf numFmtId="0" fontId="82" fillId="0" borderId="10" xfId="180" applyFont="1" applyFill="1" applyBorder="1" applyAlignment="1">
      <alignment horizontal="center" vertical="center" wrapText="1"/>
    </xf>
    <xf numFmtId="3" fontId="82" fillId="0" borderId="10" xfId="180" applyNumberFormat="1" applyFont="1" applyFill="1" applyBorder="1" applyAlignment="1">
      <alignment horizontal="center" vertical="center" wrapText="1"/>
    </xf>
    <xf numFmtId="3" fontId="82" fillId="0" borderId="27" xfId="180" applyNumberFormat="1" applyFont="1" applyFill="1" applyBorder="1" applyAlignment="1">
      <alignment horizontal="center" vertical="center" wrapText="1"/>
    </xf>
    <xf numFmtId="3" fontId="82" fillId="0" borderId="1" xfId="180" applyNumberFormat="1" applyFont="1" applyFill="1" applyBorder="1" applyAlignment="1">
      <alignment horizontal="center" vertical="center" wrapText="1"/>
    </xf>
    <xf numFmtId="3" fontId="82" fillId="0" borderId="4" xfId="180" applyNumberFormat="1" applyFont="1" applyFill="1" applyBorder="1" applyAlignment="1">
      <alignment horizontal="center" vertical="center" wrapText="1"/>
    </xf>
    <xf numFmtId="0" fontId="24" fillId="0" borderId="15" xfId="180" applyFont="1" applyFill="1" applyBorder="1" applyAlignment="1">
      <alignment horizontal="center" vertical="center" wrapText="1"/>
    </xf>
    <xf numFmtId="0" fontId="24" fillId="0" borderId="6" xfId="180" applyFont="1" applyFill="1" applyBorder="1" applyAlignment="1">
      <alignment horizontal="center" vertical="center" wrapText="1"/>
    </xf>
    <xf numFmtId="0" fontId="24" fillId="0" borderId="28" xfId="180" applyFont="1" applyFill="1" applyBorder="1" applyAlignment="1">
      <alignment horizontal="center" vertical="center" wrapText="1"/>
    </xf>
    <xf numFmtId="3" fontId="82" fillId="0" borderId="29" xfId="180" applyNumberFormat="1" applyFont="1" applyFill="1" applyBorder="1" applyAlignment="1">
      <alignment horizontal="center" vertical="center" wrapText="1"/>
    </xf>
    <xf numFmtId="3" fontId="82" fillId="0" borderId="30" xfId="180" applyNumberFormat="1" applyFont="1" applyFill="1" applyBorder="1" applyAlignment="1">
      <alignment horizontal="center" vertical="center" wrapText="1"/>
    </xf>
    <xf numFmtId="10" fontId="82" fillId="0" borderId="10" xfId="180" applyNumberFormat="1" applyFont="1" applyFill="1" applyBorder="1" applyAlignment="1">
      <alignment horizontal="center" vertical="center" wrapText="1"/>
    </xf>
    <xf numFmtId="3" fontId="82" fillId="0" borderId="15" xfId="180" applyNumberFormat="1" applyFont="1" applyFill="1" applyBorder="1" applyAlignment="1">
      <alignment horizontal="center" vertical="center" wrapText="1"/>
    </xf>
    <xf numFmtId="3" fontId="82" fillId="0" borderId="6" xfId="180" applyNumberFormat="1" applyFont="1" applyFill="1" applyBorder="1" applyAlignment="1">
      <alignment horizontal="center" vertical="center" wrapText="1"/>
    </xf>
    <xf numFmtId="3" fontId="82" fillId="0" borderId="28" xfId="180" applyNumberFormat="1" applyFont="1" applyFill="1" applyBorder="1" applyAlignment="1">
      <alignment horizontal="center" vertical="center" wrapText="1"/>
    </xf>
    <xf numFmtId="3" fontId="4" fillId="0" borderId="0" xfId="180" applyNumberFormat="1" applyFont="1" applyFill="1" applyAlignment="1">
      <alignment horizontal="center"/>
    </xf>
    <xf numFmtId="0" fontId="24" fillId="0" borderId="0" xfId="180" applyFont="1" applyFill="1" applyAlignment="1">
      <alignment horizontal="center" vertical="center"/>
    </xf>
    <xf numFmtId="0" fontId="125" fillId="0" borderId="0" xfId="180" applyFont="1" applyFill="1" applyAlignment="1">
      <alignment horizontal="center" vertical="center"/>
    </xf>
    <xf numFmtId="0" fontId="127" fillId="0" borderId="31" xfId="180" applyFont="1" applyFill="1" applyBorder="1" applyAlignment="1">
      <alignment horizontal="right"/>
    </xf>
    <xf numFmtId="3" fontId="24" fillId="0" borderId="0" xfId="180" applyNumberFormat="1" applyFont="1" applyFill="1" applyAlignment="1">
      <alignment horizontal="center" vertical="center"/>
    </xf>
    <xf numFmtId="3" fontId="24" fillId="0" borderId="0" xfId="180" applyNumberFormat="1" applyFont="1" applyFill="1" applyAlignment="1">
      <alignment horizontal="center"/>
    </xf>
    <xf numFmtId="3" fontId="25" fillId="0" borderId="0" xfId="180" applyNumberFormat="1" applyFont="1" applyFill="1" applyAlignment="1">
      <alignment horizontal="center" vertical="center"/>
    </xf>
    <xf numFmtId="0" fontId="4" fillId="0" borderId="10" xfId="0" applyFont="1" applyFill="1" applyBorder="1" applyAlignment="1">
      <alignment horizontal="center" vertical="center" wrapText="1"/>
    </xf>
    <xf numFmtId="0" fontId="4" fillId="0" borderId="10" xfId="0" applyFont="1" applyFill="1" applyBorder="1" applyAlignment="1">
      <alignment horizontal="center" vertical="center"/>
    </xf>
    <xf numFmtId="3" fontId="4" fillId="0" borderId="17" xfId="0" applyNumberFormat="1" applyFont="1" applyFill="1" applyBorder="1" applyAlignment="1">
      <alignment horizontal="center" vertical="center" wrapText="1"/>
    </xf>
    <xf numFmtId="3" fontId="4" fillId="0" borderId="23" xfId="0" applyNumberFormat="1" applyFont="1" applyFill="1" applyBorder="1" applyAlignment="1">
      <alignment horizontal="center" vertical="center" wrapText="1"/>
    </xf>
    <xf numFmtId="170" fontId="4" fillId="0" borderId="27" xfId="113" applyNumberFormat="1" applyFont="1" applyFill="1" applyBorder="1" applyAlignment="1">
      <alignment horizontal="center" vertical="center" wrapText="1"/>
    </xf>
    <xf numFmtId="170" fontId="4" fillId="0" borderId="1" xfId="113" applyNumberFormat="1" applyFont="1" applyFill="1" applyBorder="1" applyAlignment="1">
      <alignment horizontal="center" vertical="center" wrapText="1"/>
    </xf>
    <xf numFmtId="170" fontId="4" fillId="0" borderId="4" xfId="113" applyNumberFormat="1" applyFont="1" applyFill="1" applyBorder="1" applyAlignment="1">
      <alignment horizontal="center" vertical="center" wrapText="1"/>
    </xf>
    <xf numFmtId="3" fontId="4" fillId="0" borderId="0" xfId="0" applyNumberFormat="1" applyFont="1" applyFill="1" applyAlignment="1">
      <alignment horizontal="center" vertical="center"/>
    </xf>
    <xf numFmtId="3" fontId="24" fillId="0" borderId="0" xfId="0" applyNumberFormat="1" applyFont="1" applyFill="1" applyAlignment="1">
      <alignment horizontal="center" vertical="center"/>
    </xf>
    <xf numFmtId="3" fontId="25" fillId="0" borderId="0" xfId="0" applyNumberFormat="1" applyFont="1" applyFill="1" applyAlignment="1">
      <alignment horizontal="center" vertical="center"/>
    </xf>
    <xf numFmtId="0" fontId="27" fillId="0" borderId="31" xfId="0" applyFont="1" applyBorder="1" applyAlignment="1">
      <alignment horizontal="center"/>
    </xf>
    <xf numFmtId="0" fontId="85" fillId="0" borderId="0" xfId="0" applyFont="1" applyAlignment="1">
      <alignment horizontal="center"/>
    </xf>
    <xf numFmtId="0" fontId="85" fillId="0" borderId="0" xfId="0" applyFont="1" applyAlignment="1">
      <alignment horizontal="center" vertical="center"/>
    </xf>
    <xf numFmtId="0" fontId="27" fillId="0" borderId="31" xfId="0" applyFont="1" applyBorder="1" applyAlignment="1">
      <alignment horizontal="center" vertical="center"/>
    </xf>
    <xf numFmtId="0" fontId="86" fillId="0" borderId="0" xfId="0" applyFont="1" applyAlignment="1">
      <alignment horizontal="center" vertical="center"/>
    </xf>
  </cellXfs>
  <cellStyles count="273">
    <cellStyle name="_x0001_" xfId="1"/>
    <cellStyle name="??" xfId="2"/>
    <cellStyle name="?? [0.00]_List-dwg" xfId="3"/>
    <cellStyle name="?? [0]" xfId="4"/>
    <cellStyle name="?? [0] 2" xfId="5"/>
    <cellStyle name="?? 2" xfId="6"/>
    <cellStyle name="?? 3" xfId="7"/>
    <cellStyle name="???? [0.00]_List-dwg" xfId="8"/>
    <cellStyle name="????_List-dwg" xfId="9"/>
    <cellStyle name="???[0]_Book1" xfId="10"/>
    <cellStyle name="???_95" xfId="11"/>
    <cellStyle name="??_(????)??????" xfId="12"/>
    <cellStyle name="_Book1" xfId="13"/>
    <cellStyle name="_Giai Doan 3 Hong Ngu" xfId="14"/>
    <cellStyle name="_KT (2)" xfId="15"/>
    <cellStyle name="_KT (2)_1" xfId="16"/>
    <cellStyle name="_KT (2)_2" xfId="17"/>
    <cellStyle name="_KT (2)_2_TG-TH" xfId="18"/>
    <cellStyle name="_KT (2)_2_TG-TH_Book1" xfId="19"/>
    <cellStyle name="_KT (2)_2_TG-TH_Giai Doan 3 Hong Ngu" xfId="20"/>
    <cellStyle name="_KT (2)_3" xfId="21"/>
    <cellStyle name="_KT (2)_3_TG-TH" xfId="22"/>
    <cellStyle name="_KT (2)_3_TG-TH_Book1" xfId="23"/>
    <cellStyle name="_KT (2)_3_TG-TH_Giai Doan 3 Hong Ngu" xfId="24"/>
    <cellStyle name="_KT (2)_3_TG-TH_PERSONAL" xfId="25"/>
    <cellStyle name="_KT (2)_4" xfId="26"/>
    <cellStyle name="_KT (2)_4_Book1" xfId="27"/>
    <cellStyle name="_KT (2)_4_Giai Doan 3 Hong Ngu" xfId="28"/>
    <cellStyle name="_KT (2)_4_TG-TH" xfId="29"/>
    <cellStyle name="_KT (2)_5" xfId="30"/>
    <cellStyle name="_KT (2)_5_Book1" xfId="31"/>
    <cellStyle name="_KT (2)_5_Giai Doan 3 Hong Ngu" xfId="32"/>
    <cellStyle name="_KT (2)_Book1" xfId="33"/>
    <cellStyle name="_KT (2)_Giai Doan 3 Hong Ngu" xfId="34"/>
    <cellStyle name="_KT (2)_PERSONAL" xfId="35"/>
    <cellStyle name="_KT (2)_TG-TH" xfId="36"/>
    <cellStyle name="_KT_TG" xfId="37"/>
    <cellStyle name="_KT_TG_1" xfId="38"/>
    <cellStyle name="_KT_TG_1_Book1" xfId="39"/>
    <cellStyle name="_KT_TG_1_Giai Doan 3 Hong Ngu" xfId="40"/>
    <cellStyle name="_KT_TG_2" xfId="41"/>
    <cellStyle name="_KT_TG_2_Book1" xfId="42"/>
    <cellStyle name="_KT_TG_2_Giai Doan 3 Hong Ngu" xfId="43"/>
    <cellStyle name="_KT_TG_3" xfId="44"/>
    <cellStyle name="_KT_TG_4" xfId="45"/>
    <cellStyle name="_PERSONAL" xfId="46"/>
    <cellStyle name="_TG-TH" xfId="47"/>
    <cellStyle name="_TG-TH_1" xfId="48"/>
    <cellStyle name="_TG-TH_1_Book1" xfId="49"/>
    <cellStyle name="_TG-TH_1_Giai Doan 3 Hong Ngu" xfId="50"/>
    <cellStyle name="_TG-TH_2" xfId="51"/>
    <cellStyle name="_TG-TH_2_Book1" xfId="52"/>
    <cellStyle name="_TG-TH_2_Giai Doan 3 Hong Ngu" xfId="53"/>
    <cellStyle name="_TG-TH_3" xfId="54"/>
    <cellStyle name="_TG-TH_4" xfId="55"/>
    <cellStyle name="0.00" xfId="56"/>
    <cellStyle name="¹éºÐÀ²_±âÅ¸" xfId="57"/>
    <cellStyle name="20% - Accent1" xfId="58" builtinId="30" customBuiltin="1"/>
    <cellStyle name="20% - Accent2" xfId="59" builtinId="34" customBuiltin="1"/>
    <cellStyle name="20% - Accent3" xfId="60" builtinId="38" customBuiltin="1"/>
    <cellStyle name="20% - Accent4" xfId="61" builtinId="42" customBuiltin="1"/>
    <cellStyle name="20% - Accent5" xfId="62" builtinId="46" customBuiltin="1"/>
    <cellStyle name="20% - Accent6" xfId="63" builtinId="50" customBuiltin="1"/>
    <cellStyle name="40% - Accent1" xfId="64" builtinId="31" customBuiltin="1"/>
    <cellStyle name="40% - Accent2" xfId="65" builtinId="35" customBuiltin="1"/>
    <cellStyle name="40% - Accent3" xfId="66" builtinId="39" customBuiltin="1"/>
    <cellStyle name="40% - Accent4" xfId="67" builtinId="43" customBuiltin="1"/>
    <cellStyle name="40% - Accent5" xfId="68" builtinId="47" customBuiltin="1"/>
    <cellStyle name="40% - Accent6" xfId="69" builtinId="51" customBuiltin="1"/>
    <cellStyle name="60% - Accent1" xfId="70" builtinId="32" customBuiltin="1"/>
    <cellStyle name="60% - Accent2" xfId="71" builtinId="36" customBuiltin="1"/>
    <cellStyle name="60% - Accent3" xfId="72" builtinId="40" customBuiltin="1"/>
    <cellStyle name="60% - Accent4" xfId="73" builtinId="44" customBuiltin="1"/>
    <cellStyle name="60% - Accent5" xfId="74" builtinId="48" customBuiltin="1"/>
    <cellStyle name="60% - Accent6" xfId="75" builtinId="52" customBuiltin="1"/>
    <cellStyle name="Accent1" xfId="76" builtinId="29" customBuiltin="1"/>
    <cellStyle name="Accent2" xfId="77" builtinId="33" customBuiltin="1"/>
    <cellStyle name="Accent3" xfId="78" builtinId="37" customBuiltin="1"/>
    <cellStyle name="Accent4" xfId="79" builtinId="41" customBuiltin="1"/>
    <cellStyle name="Accent5" xfId="80" builtinId="45" customBuiltin="1"/>
    <cellStyle name="Accent6" xfId="81" builtinId="49" customBuiltin="1"/>
    <cellStyle name="ÅëÈ­ [0]_±âÅ¸" xfId="82"/>
    <cellStyle name="AeE­ [0]_INQUIRY ¿µ¾÷AßAø " xfId="83"/>
    <cellStyle name="ÅëÈ­ [0]_L601CPT" xfId="84"/>
    <cellStyle name="ÅëÈ­_±âÅ¸" xfId="85"/>
    <cellStyle name="AeE­_INQUIRY ¿µ¾÷AßAø " xfId="86"/>
    <cellStyle name="ÅëÈ­_L601CPT" xfId="87"/>
    <cellStyle name="at" xfId="88"/>
    <cellStyle name="ÄÞ¸¶ [0]_±âÅ¸" xfId="89"/>
    <cellStyle name="AÞ¸¶ [0]_INQUIRY ¿?¾÷AßAø " xfId="90"/>
    <cellStyle name="ÄÞ¸¶ [0]_L601CPT" xfId="91"/>
    <cellStyle name="ÄÞ¸¶_±âÅ¸" xfId="92"/>
    <cellStyle name="AÞ¸¶_INQUIRY ¿?¾÷AßAø " xfId="93"/>
    <cellStyle name="ÄÞ¸¶_L601CPT" xfId="94"/>
    <cellStyle name="AutoFormat Options" xfId="95"/>
    <cellStyle name="Bad" xfId="96" builtinId="27" customBuiltin="1"/>
    <cellStyle name="C?AØ_¿?¾÷CoE² " xfId="97"/>
    <cellStyle name="Ç¥ÁØ_#2(M17)_1" xfId="98"/>
    <cellStyle name="C￥AØ_¿μ¾÷CoE² " xfId="99"/>
    <cellStyle name="Ç¥ÁØ_±¸¹Ì´ëÃ¥" xfId="100"/>
    <cellStyle name="Calculation" xfId="101" builtinId="22" customBuiltin="1"/>
    <cellStyle name="category" xfId="102"/>
    <cellStyle name="category 2" xfId="103"/>
    <cellStyle name="Cerrency_Sheet2_XANGDAU" xfId="104"/>
    <cellStyle name="Check Cell" xfId="105" builtinId="23" customBuiltin="1"/>
    <cellStyle name="CHUONG" xfId="106"/>
    <cellStyle name="Comma" xfId="107" builtinId="3"/>
    <cellStyle name="Comma [0] 2" xfId="108"/>
    <cellStyle name="Comma [0] 3" xfId="109"/>
    <cellStyle name="Comma [0] 4" xfId="110"/>
    <cellStyle name="Comma 16 3" xfId="111"/>
    <cellStyle name="Comma 2" xfId="112"/>
    <cellStyle name="Comma 2 2" xfId="113"/>
    <cellStyle name="Comma 2 3" xfId="114"/>
    <cellStyle name="Comma 2 4" xfId="115"/>
    <cellStyle name="Comma 3" xfId="116"/>
    <cellStyle name="Comma 3 2" xfId="117"/>
    <cellStyle name="Comma 4" xfId="118"/>
    <cellStyle name="Comma 5" xfId="119"/>
    <cellStyle name="Comma 54" xfId="120"/>
    <cellStyle name="Comma 54 2" xfId="121"/>
    <cellStyle name="Comma 54 3" xfId="122"/>
    <cellStyle name="Comma 6" xfId="123"/>
    <cellStyle name="Comma 7" xfId="124"/>
    <cellStyle name="comma zerodec" xfId="125"/>
    <cellStyle name="Comma0" xfId="126"/>
    <cellStyle name="Comma0 2" xfId="127"/>
    <cellStyle name="Curråncy [0]_FCST_RESULTS" xfId="128"/>
    <cellStyle name="Currency [0]ßmud plant bolted_RESULTS" xfId="129"/>
    <cellStyle name="Currency![0]_FCSt (2)" xfId="130"/>
    <cellStyle name="Currency0" xfId="131"/>
    <cellStyle name="Currency0 2" xfId="132"/>
    <cellStyle name="Currency1" xfId="133"/>
    <cellStyle name="Date" xfId="134"/>
    <cellStyle name="Date 2" xfId="135"/>
    <cellStyle name="Dollar (zero dec)" xfId="136"/>
    <cellStyle name="Explanatory Text" xfId="137" builtinId="53" customBuiltin="1"/>
    <cellStyle name="Fixed" xfId="138"/>
    <cellStyle name="Fixed 2" xfId="139"/>
    <cellStyle name="Good" xfId="140" builtinId="26" customBuiltin="1"/>
    <cellStyle name="Grey" xfId="141"/>
    <cellStyle name="Grey 2" xfId="142"/>
    <cellStyle name="ha" xfId="143"/>
    <cellStyle name="HEADER" xfId="144"/>
    <cellStyle name="HEADER 2" xfId="145"/>
    <cellStyle name="Header1" xfId="146"/>
    <cellStyle name="Header2" xfId="147"/>
    <cellStyle name="Heading 1" xfId="148" builtinId="16" customBuiltin="1"/>
    <cellStyle name="Heading 1 2" xfId="149"/>
    <cellStyle name="Heading 2" xfId="150" builtinId="17" customBuiltin="1"/>
    <cellStyle name="Heading 2 2" xfId="151"/>
    <cellStyle name="Heading 3" xfId="152" builtinId="18" customBuiltin="1"/>
    <cellStyle name="Heading 4" xfId="153" builtinId="19" customBuiltin="1"/>
    <cellStyle name="HEADING1" xfId="154"/>
    <cellStyle name="HEADING2" xfId="155"/>
    <cellStyle name="i·0" xfId="156"/>
    <cellStyle name="Input" xfId="157" builtinId="20" customBuiltin="1"/>
    <cellStyle name="Input [yellow]" xfId="158"/>
    <cellStyle name="Input [yellow] 2" xfId="159"/>
    <cellStyle name="Linked Cell" xfId="160" builtinId="24" customBuiltin="1"/>
    <cellStyle name="Millares [0]_Well Timing" xfId="161"/>
    <cellStyle name="Millares_Well Timing" xfId="162"/>
    <cellStyle name="Model" xfId="163"/>
    <cellStyle name="Model 2" xfId="164"/>
    <cellStyle name="Moneda [0]_Well Timing" xfId="165"/>
    <cellStyle name="Moneda_Well Timing" xfId="166"/>
    <cellStyle name="Monétaire [0]_TARIFFS DB" xfId="167"/>
    <cellStyle name="Monétaire_TARIFFS DB" xfId="168"/>
    <cellStyle name="n" xfId="169"/>
    <cellStyle name="Neutral" xfId="170" builtinId="28" customBuiltin="1"/>
    <cellStyle name="New Times Roman" xfId="171"/>
    <cellStyle name="no dec" xfId="172"/>
    <cellStyle name="ÑONVÒ" xfId="173"/>
    <cellStyle name="Normal" xfId="0" builtinId="0"/>
    <cellStyle name="Normal - Style1" xfId="174"/>
    <cellStyle name="Normal - Style1 2" xfId="175"/>
    <cellStyle name="Normal 10" xfId="176"/>
    <cellStyle name="Normal 10 2" xfId="177"/>
    <cellStyle name="Normal 11" xfId="178"/>
    <cellStyle name="Normal 12" xfId="179"/>
    <cellStyle name="Normal 13" xfId="180"/>
    <cellStyle name="Normal 14" xfId="181"/>
    <cellStyle name="Normal 15" xfId="182"/>
    <cellStyle name="Normal 16" xfId="183"/>
    <cellStyle name="Normal 17" xfId="184"/>
    <cellStyle name="Normal 18" xfId="185"/>
    <cellStyle name="Normal 19" xfId="186"/>
    <cellStyle name="Normal 2" xfId="187"/>
    <cellStyle name="Normal 2 2" xfId="188"/>
    <cellStyle name="Normal 2 3" xfId="189"/>
    <cellStyle name="Normal 2 4" xfId="190"/>
    <cellStyle name="Normal 20" xfId="191"/>
    <cellStyle name="Normal 21" xfId="192"/>
    <cellStyle name="Normal 3" xfId="193"/>
    <cellStyle name="Normal 3 2" xfId="194"/>
    <cellStyle name="Normal 3 3" xfId="195"/>
    <cellStyle name="Normal 4" xfId="196"/>
    <cellStyle name="Normal 4 2" xfId="197"/>
    <cellStyle name="Normal 5" xfId="198"/>
    <cellStyle name="Normal 55 2" xfId="199"/>
    <cellStyle name="Normal 6" xfId="200"/>
    <cellStyle name="Normal 7" xfId="201"/>
    <cellStyle name="Normal 7 2" xfId="202"/>
    <cellStyle name="Normal 8" xfId="203"/>
    <cellStyle name="Normal 9" xfId="204"/>
    <cellStyle name="Normal 9 2" xfId="205"/>
    <cellStyle name="Normal_Bieu mau (CV )" xfId="206"/>
    <cellStyle name="Normal_SHEET" xfId="207"/>
    <cellStyle name="Normal_Sheet1" xfId="208"/>
    <cellStyle name="Normal_Sheet1 2" xfId="209"/>
    <cellStyle name="Note" xfId="210" builtinId="10" customBuiltin="1"/>
    <cellStyle name="Output" xfId="211" builtinId="21" customBuiltin="1"/>
    <cellStyle name="Percent" xfId="212" builtinId="5"/>
    <cellStyle name="Percent [2]" xfId="213"/>
    <cellStyle name="Percent 2" xfId="214"/>
    <cellStyle name="Percent 3" xfId="215"/>
    <cellStyle name="Percent 4" xfId="216"/>
    <cellStyle name="S—_x0008_" xfId="217"/>
    <cellStyle name="Style 1" xfId="218"/>
    <cellStyle name="Style 1 2" xfId="219"/>
    <cellStyle name="Style 1 2 2" xfId="220"/>
    <cellStyle name="Style 1 3" xfId="221"/>
    <cellStyle name="Style 10" xfId="222"/>
    <cellStyle name="Style 11" xfId="223"/>
    <cellStyle name="Style 2" xfId="224"/>
    <cellStyle name="Style 3" xfId="225"/>
    <cellStyle name="Style 4" xfId="226"/>
    <cellStyle name="Style 5" xfId="227"/>
    <cellStyle name="Style 6" xfId="228"/>
    <cellStyle name="Style 7" xfId="229"/>
    <cellStyle name="Style 8" xfId="230"/>
    <cellStyle name="Style 9" xfId="231"/>
    <cellStyle name="subhead" xfId="232"/>
    <cellStyle name="subhead 2" xfId="233"/>
    <cellStyle name="symbol" xfId="234"/>
    <cellStyle name="T" xfId="235"/>
    <cellStyle name="T_875 AL-1" xfId="236"/>
    <cellStyle name="T_Book1" xfId="237"/>
    <cellStyle name="T_Goi 2 173-333.875AL-1" xfId="238"/>
    <cellStyle name="T_HC HTDL.Kenh Nhat" xfId="239"/>
    <cellStyle name="T_TK_HT" xfId="240"/>
    <cellStyle name="tam" xfId="241"/>
    <cellStyle name="th" xfId="242"/>
    <cellStyle name="Title" xfId="243" builtinId="15" customBuiltin="1"/>
    <cellStyle name="Total" xfId="244" builtinId="25" customBuiltin="1"/>
    <cellStyle name="Total 2" xfId="245"/>
    <cellStyle name="Total 2 2" xfId="246"/>
    <cellStyle name="viet" xfId="247"/>
    <cellStyle name="viet2" xfId="248"/>
    <cellStyle name="VN new romanNormal" xfId="249"/>
    <cellStyle name="VN time new roman" xfId="250"/>
    <cellStyle name="Warning Text" xfId="251" builtinId="11" customBuiltin="1"/>
    <cellStyle name="xuan" xfId="252"/>
    <cellStyle name=" [0.00]_ Att. 1- Cover" xfId="253"/>
    <cellStyle name="_ Att. 1- Cover" xfId="254"/>
    <cellStyle name="?_ Att. 1- Cover" xfId="255"/>
    <cellStyle name="똿뗦먛귟 [0.00]_PRODUCT DETAIL Q1" xfId="256"/>
    <cellStyle name="똿뗦먛귟_PRODUCT DETAIL Q1" xfId="257"/>
    <cellStyle name="믅됞 [0.00]_PRODUCT DETAIL Q1" xfId="258"/>
    <cellStyle name="믅됞_PRODUCT DETAIL Q1" xfId="259"/>
    <cellStyle name="백분율_95" xfId="260"/>
    <cellStyle name="뷭?_BOOKSHIP" xfId="261"/>
    <cellStyle name="콤마 [0]_1202" xfId="262"/>
    <cellStyle name="콤마_1202" xfId="263"/>
    <cellStyle name="통화 [0]_1202" xfId="264"/>
    <cellStyle name="통화_1202" xfId="265"/>
    <cellStyle name="표준_(정보부문)월별인원계획" xfId="266"/>
    <cellStyle name="一般_00Q3902REV.1" xfId="267"/>
    <cellStyle name="千分位[0]_00Q3902REV.1" xfId="268"/>
    <cellStyle name="千分位_00Q3902REV.1" xfId="269"/>
    <cellStyle name="貨幣 [0]_00Q3902REV.1" xfId="270"/>
    <cellStyle name="貨幣[0]_BRE" xfId="271"/>
    <cellStyle name="貨幣_00Q3902REV.1" xfId="2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322580</xdr:colOff>
      <xdr:row>2</xdr:row>
      <xdr:rowOff>33130</xdr:rowOff>
    </xdr:from>
    <xdr:to>
      <xdr:col>13</xdr:col>
      <xdr:colOff>146306</xdr:colOff>
      <xdr:row>2</xdr:row>
      <xdr:rowOff>33130</xdr:rowOff>
    </xdr:to>
    <xdr:cxnSp macro="">
      <xdr:nvCxnSpPr>
        <xdr:cNvPr id="2" name="Straight Connector 1"/>
        <xdr:cNvCxnSpPr/>
      </xdr:nvCxnSpPr>
      <xdr:spPr>
        <a:xfrm>
          <a:off x="7158355" y="452230"/>
          <a:ext cx="152844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2</xdr:row>
      <xdr:rowOff>200025</xdr:rowOff>
    </xdr:from>
    <xdr:to>
      <xdr:col>1</xdr:col>
      <xdr:colOff>1000125</xdr:colOff>
      <xdr:row>2</xdr:row>
      <xdr:rowOff>200025</xdr:rowOff>
    </xdr:to>
    <xdr:sp macro="" textlink="">
      <xdr:nvSpPr>
        <xdr:cNvPr id="426197" name="Line 1"/>
        <xdr:cNvSpPr>
          <a:spLocks noChangeShapeType="1"/>
        </xdr:cNvSpPr>
      </xdr:nvSpPr>
      <xdr:spPr bwMode="auto">
        <a:xfrm>
          <a:off x="819150" y="581025"/>
          <a:ext cx="571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322580</xdr:colOff>
      <xdr:row>2</xdr:row>
      <xdr:rowOff>33130</xdr:rowOff>
    </xdr:from>
    <xdr:to>
      <xdr:col>13</xdr:col>
      <xdr:colOff>146333</xdr:colOff>
      <xdr:row>2</xdr:row>
      <xdr:rowOff>33130</xdr:rowOff>
    </xdr:to>
    <xdr:cxnSp macro="">
      <xdr:nvCxnSpPr>
        <xdr:cNvPr id="3" name="Straight Connector 2"/>
        <xdr:cNvCxnSpPr/>
      </xdr:nvCxnSpPr>
      <xdr:spPr>
        <a:xfrm>
          <a:off x="7158355" y="452230"/>
          <a:ext cx="152844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190500</xdr:colOff>
      <xdr:row>3</xdr:row>
      <xdr:rowOff>0</xdr:rowOff>
    </xdr:from>
    <xdr:to>
      <xdr:col>1</xdr:col>
      <xdr:colOff>762000</xdr:colOff>
      <xdr:row>3</xdr:row>
      <xdr:rowOff>0</xdr:rowOff>
    </xdr:to>
    <xdr:sp macro="" textlink="">
      <xdr:nvSpPr>
        <xdr:cNvPr id="427221" name="Line 1"/>
        <xdr:cNvSpPr>
          <a:spLocks noChangeShapeType="1"/>
        </xdr:cNvSpPr>
      </xdr:nvSpPr>
      <xdr:spPr bwMode="auto">
        <a:xfrm>
          <a:off x="619125" y="581025"/>
          <a:ext cx="571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781050</xdr:colOff>
      <xdr:row>3</xdr:row>
      <xdr:rowOff>9525</xdr:rowOff>
    </xdr:from>
    <xdr:to>
      <xdr:col>1</xdr:col>
      <xdr:colOff>1352550</xdr:colOff>
      <xdr:row>3</xdr:row>
      <xdr:rowOff>9525</xdr:rowOff>
    </xdr:to>
    <xdr:sp macro="" textlink="">
      <xdr:nvSpPr>
        <xdr:cNvPr id="428244" name="Line 1"/>
        <xdr:cNvSpPr>
          <a:spLocks noChangeShapeType="1"/>
        </xdr:cNvSpPr>
      </xdr:nvSpPr>
      <xdr:spPr bwMode="auto">
        <a:xfrm>
          <a:off x="1143000" y="533400"/>
          <a:ext cx="571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295275</xdr:colOff>
      <xdr:row>1</xdr:row>
      <xdr:rowOff>190500</xdr:rowOff>
    </xdr:from>
    <xdr:to>
      <xdr:col>26</xdr:col>
      <xdr:colOff>342900</xdr:colOff>
      <xdr:row>1</xdr:row>
      <xdr:rowOff>190500</xdr:rowOff>
    </xdr:to>
    <xdr:sp macro="" textlink="">
      <xdr:nvSpPr>
        <xdr:cNvPr id="428245" name="Line 1"/>
        <xdr:cNvSpPr>
          <a:spLocks noChangeShapeType="1"/>
        </xdr:cNvSpPr>
      </xdr:nvSpPr>
      <xdr:spPr bwMode="auto">
        <a:xfrm>
          <a:off x="16764000" y="3524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993775</xdr:colOff>
      <xdr:row>2</xdr:row>
      <xdr:rowOff>0</xdr:rowOff>
    </xdr:from>
    <xdr:to>
      <xdr:col>1</xdr:col>
      <xdr:colOff>1755775</xdr:colOff>
      <xdr:row>2</xdr:row>
      <xdr:rowOff>0</xdr:rowOff>
    </xdr:to>
    <xdr:cxnSp macro="">
      <xdr:nvCxnSpPr>
        <xdr:cNvPr id="4" name="Straight Connector 3"/>
        <xdr:cNvCxnSpPr/>
      </xdr:nvCxnSpPr>
      <xdr:spPr>
        <a:xfrm>
          <a:off x="1390650" y="323850"/>
          <a:ext cx="762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6" name="Straight Connector 5"/>
        <xdr:cNvCxnSpPr/>
      </xdr:nvCxnSpPr>
      <xdr:spPr>
        <a:xfrm>
          <a:off x="1457325" y="323850"/>
          <a:ext cx="762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7" name="Straight Connector 6"/>
        <xdr:cNvCxnSpPr/>
      </xdr:nvCxnSpPr>
      <xdr:spPr>
        <a:xfrm>
          <a:off x="1457325" y="323850"/>
          <a:ext cx="762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782762</xdr:colOff>
      <xdr:row>2</xdr:row>
      <xdr:rowOff>17562</xdr:rowOff>
    </xdr:to>
    <xdr:cxnSp macro="">
      <xdr:nvCxnSpPr>
        <xdr:cNvPr id="8" name="Straight Connector 7"/>
        <xdr:cNvCxnSpPr/>
      </xdr:nvCxnSpPr>
      <xdr:spPr>
        <a:xfrm>
          <a:off x="7590728" y="318627"/>
          <a:ext cx="165257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9" name="Straight Connector 8"/>
        <xdr:cNvCxnSpPr/>
      </xdr:nvCxnSpPr>
      <xdr:spPr>
        <a:xfrm>
          <a:off x="1457325" y="323850"/>
          <a:ext cx="7620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0" name="Straight Connector 9"/>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1" name="Straight Connector 10"/>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2" name="Straight Connector 11"/>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782807</xdr:colOff>
      <xdr:row>2</xdr:row>
      <xdr:rowOff>17562</xdr:rowOff>
    </xdr:to>
    <xdr:cxnSp macro="">
      <xdr:nvCxnSpPr>
        <xdr:cNvPr id="13" name="Straight Connector 12"/>
        <xdr:cNvCxnSpPr/>
      </xdr:nvCxnSpPr>
      <xdr:spPr>
        <a:xfrm>
          <a:off x="7950810" y="347762"/>
          <a:ext cx="172836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4" name="Straight Connector 13"/>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5" name="Straight Connector 14"/>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6" name="Straight Connector 15"/>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7" name="Straight Connector 16"/>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782807</xdr:colOff>
      <xdr:row>2</xdr:row>
      <xdr:rowOff>17562</xdr:rowOff>
    </xdr:to>
    <xdr:cxnSp macro="">
      <xdr:nvCxnSpPr>
        <xdr:cNvPr id="18" name="Straight Connector 17"/>
        <xdr:cNvCxnSpPr/>
      </xdr:nvCxnSpPr>
      <xdr:spPr>
        <a:xfrm>
          <a:off x="7950810" y="347762"/>
          <a:ext cx="172836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19" name="Straight Connector 18"/>
        <xdr:cNvCxnSpPr/>
      </xdr:nvCxnSpPr>
      <xdr:spPr>
        <a:xfrm>
          <a:off x="153987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20" name="Straight Connector 19"/>
        <xdr:cNvCxnSpPr/>
      </xdr:nvCxnSpPr>
      <xdr:spPr>
        <a:xfrm>
          <a:off x="153352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21" name="Straight Connector 20"/>
        <xdr:cNvCxnSpPr/>
      </xdr:nvCxnSpPr>
      <xdr:spPr>
        <a:xfrm>
          <a:off x="153352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22" name="Straight Connector 21"/>
        <xdr:cNvCxnSpPr/>
      </xdr:nvCxnSpPr>
      <xdr:spPr>
        <a:xfrm>
          <a:off x="153352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782762</xdr:colOff>
      <xdr:row>2</xdr:row>
      <xdr:rowOff>17562</xdr:rowOff>
    </xdr:to>
    <xdr:cxnSp macro="">
      <xdr:nvCxnSpPr>
        <xdr:cNvPr id="23" name="Straight Connector 22"/>
        <xdr:cNvCxnSpPr/>
      </xdr:nvCxnSpPr>
      <xdr:spPr>
        <a:xfrm>
          <a:off x="7950810" y="347762"/>
          <a:ext cx="1728329"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993775</xdr:colOff>
      <xdr:row>2</xdr:row>
      <xdr:rowOff>0</xdr:rowOff>
    </xdr:from>
    <xdr:to>
      <xdr:col>1</xdr:col>
      <xdr:colOff>1755775</xdr:colOff>
      <xdr:row>2</xdr:row>
      <xdr:rowOff>0</xdr:rowOff>
    </xdr:to>
    <xdr:cxnSp macro="">
      <xdr:nvCxnSpPr>
        <xdr:cNvPr id="24" name="Straight Connector 23"/>
        <xdr:cNvCxnSpPr/>
      </xdr:nvCxnSpPr>
      <xdr:spPr>
        <a:xfrm>
          <a:off x="1533525"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25" name="Straight Connector 24"/>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26" name="Straight Connector 25"/>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27" name="Straight Connector 26"/>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782807</xdr:colOff>
      <xdr:row>2</xdr:row>
      <xdr:rowOff>17562</xdr:rowOff>
    </xdr:to>
    <xdr:cxnSp macro="">
      <xdr:nvCxnSpPr>
        <xdr:cNvPr id="28" name="Straight Connector 27"/>
        <xdr:cNvCxnSpPr/>
      </xdr:nvCxnSpPr>
      <xdr:spPr>
        <a:xfrm>
          <a:off x="7950810" y="347762"/>
          <a:ext cx="1728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29" name="Straight Connector 28"/>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30" name="Straight Connector 29"/>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31" name="Straight Connector 30"/>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32" name="Straight Connector 31"/>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895960</xdr:colOff>
      <xdr:row>2</xdr:row>
      <xdr:rowOff>17562</xdr:rowOff>
    </xdr:from>
    <xdr:to>
      <xdr:col>9</xdr:col>
      <xdr:colOff>782807</xdr:colOff>
      <xdr:row>2</xdr:row>
      <xdr:rowOff>17562</xdr:rowOff>
    </xdr:to>
    <xdr:cxnSp macro="">
      <xdr:nvCxnSpPr>
        <xdr:cNvPr id="33" name="Straight Connector 32"/>
        <xdr:cNvCxnSpPr/>
      </xdr:nvCxnSpPr>
      <xdr:spPr>
        <a:xfrm>
          <a:off x="7950810" y="347762"/>
          <a:ext cx="1728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996950</xdr:colOff>
      <xdr:row>2</xdr:row>
      <xdr:rowOff>0</xdr:rowOff>
    </xdr:from>
    <xdr:to>
      <xdr:col>1</xdr:col>
      <xdr:colOff>1758950</xdr:colOff>
      <xdr:row>2</xdr:row>
      <xdr:rowOff>0</xdr:rowOff>
    </xdr:to>
    <xdr:cxnSp macro="">
      <xdr:nvCxnSpPr>
        <xdr:cNvPr id="34" name="Straight Connector 33"/>
        <xdr:cNvCxnSpPr/>
      </xdr:nvCxnSpPr>
      <xdr:spPr>
        <a:xfrm>
          <a:off x="1536700" y="330200"/>
          <a:ext cx="800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ao%20cao%203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CDT"/>
      <sheetName val="Sheet1"/>
      <sheetName val="Sheet3"/>
      <sheetName val="giai ngan"/>
      <sheetName val="Trang_tính1"/>
      <sheetName val="tien do"/>
      <sheetName val="TH"/>
      <sheetName val="PL1"/>
      <sheetName val="Sheet4"/>
      <sheetName val="PL3"/>
      <sheetName val="PL3.1"/>
      <sheetName val="Chua GN KD"/>
      <sheetName val="chua GN 2019"/>
      <sheetName val="PL2--"/>
      <sheetName val="PL2.1"/>
      <sheetName val="PL2.2"/>
      <sheetName val="PL2.3"/>
      <sheetName val="bu ok"/>
      <sheetName val="BU CO"/>
      <sheetName val="bu ko"/>
      <sheetName val="30&lt;"/>
      <sheetName val="PL3-huyen"/>
      <sheetName val="2020 ko"/>
      <sheetName val="PL5"/>
      <sheetName val="2020"/>
      <sheetName val="BC ĐC CĐT"/>
      <sheetName val="NSTT"/>
      <sheetName val="XSKT"/>
      <sheetName val="TH ko co dat"/>
      <sheetName val="TH BC TW"/>
      <sheetName val="BC TW1"/>
      <sheetName val="BCTW2"/>
      <sheetName val="BC3TW"/>
      <sheetName val="xin ý"/>
      <sheetName val="DA"/>
    </sheetNames>
    <sheetDataSet>
      <sheetData sheetId="0"/>
      <sheetData sheetId="1"/>
      <sheetData sheetId="2"/>
      <sheetData sheetId="3"/>
      <sheetData sheetId="4">
        <row r="4">
          <cell r="B4" t="str">
            <v>dự án đang lập hồ sơ thiết kế BVTC&amp;DT</v>
          </cell>
          <cell r="C4" t="str">
            <v xml:space="preserve"> dự án đang lập kế hoạch sử dụng đất</v>
          </cell>
          <cell r="D4" t="str">
            <v>dự án đảm bảo giải ngân hết kế hoạch</v>
          </cell>
        </row>
        <row r="5">
          <cell r="B5" t="str">
            <v>dự án đang thẩm định TK cơ sở hoặc TKBVTC&amp;DT</v>
          </cell>
          <cell r="C5" t="str">
            <v>dự án đang tổ chức cắm mốc giải phóng mặt bằng</v>
          </cell>
          <cell r="D5" t="str">
            <v>dự án có khả năng giải ngân hết kế hoạch</v>
          </cell>
        </row>
        <row r="6">
          <cell r="B6" t="str">
            <v xml:space="preserve">dự án đang đấu thầu </v>
          </cell>
          <cell r="C6" t="str">
            <v>dự án đang thẩm định điều kiện thu hồi đất, phê duyệt, giá đất</v>
          </cell>
          <cell r="D6" t="str">
            <v>dự án không có khả năng giải ngân hết kế hoạch</v>
          </cell>
        </row>
        <row r="7">
          <cell r="C7" t="str">
            <v>dự án đang thẩm định điều kiện thu hồi đất, phê duyệt, giá đất</v>
          </cell>
        </row>
        <row r="8">
          <cell r="C8" t="str">
            <v xml:space="preserve">dự án đang niêm yết giá, thẩm định, phê duyệt phương án đền bù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3"/>
  <sheetViews>
    <sheetView topLeftCell="A3" zoomScale="85" zoomScaleNormal="85" workbookViewId="0">
      <pane xSplit="2" ySplit="4" topLeftCell="J136" activePane="bottomRight" state="frozen"/>
      <selection activeCell="A3" sqref="A3"/>
      <selection pane="topRight" activeCell="C3" sqref="C3"/>
      <selection pane="bottomLeft" activeCell="A7" sqref="A7"/>
      <selection pane="bottomRight" activeCell="X12" sqref="X12"/>
    </sheetView>
  </sheetViews>
  <sheetFormatPr defaultRowHeight="12.75"/>
  <cols>
    <col min="1" max="1" width="4.5703125" style="4" customWidth="1"/>
    <col min="2" max="2" width="29.5703125" style="5" customWidth="1"/>
    <col min="3" max="3" width="7.42578125" style="5" customWidth="1"/>
    <col min="4" max="4" width="15.140625" style="5" customWidth="1"/>
    <col min="5" max="5" width="11.7109375" style="6" customWidth="1"/>
    <col min="6" max="11" width="11.7109375" style="5" customWidth="1"/>
    <col min="12" max="12" width="10.85546875" style="5" customWidth="1"/>
    <col min="13" max="13" width="15.28515625" style="4" customWidth="1"/>
    <col min="14" max="14" width="11" style="5" customWidth="1"/>
    <col min="15" max="15" width="11.28515625" style="5" customWidth="1"/>
    <col min="16" max="16" width="6.7109375" style="87" customWidth="1"/>
    <col min="17" max="17" width="11" style="87" customWidth="1"/>
    <col min="18" max="18" width="11.140625" style="87" customWidth="1"/>
    <col min="19" max="19" width="11" style="5" customWidth="1"/>
    <col min="20" max="20" width="11.140625" style="5" customWidth="1"/>
    <col min="21" max="21" width="11" style="87" customWidth="1"/>
    <col min="22" max="22" width="6.7109375" style="30" customWidth="1"/>
    <col min="23" max="23" width="11" style="87" customWidth="1"/>
    <col min="24" max="24" width="16.85546875" style="87" customWidth="1"/>
    <col min="25" max="25" width="14.28515625" style="16" customWidth="1"/>
    <col min="26" max="26" width="11.28515625" style="5" customWidth="1"/>
    <col min="27" max="27" width="11.7109375" style="5" customWidth="1"/>
    <col min="28" max="28" width="19.140625" style="5" customWidth="1"/>
    <col min="29" max="29" width="19.85546875" style="5" customWidth="1"/>
    <col min="30" max="30" width="18" style="81" customWidth="1"/>
    <col min="31" max="31" width="9.140625" style="81"/>
    <col min="32" max="16384" width="9.140625" style="5"/>
  </cols>
  <sheetData>
    <row r="1" spans="1:31">
      <c r="A1" s="760" t="s">
        <v>259</v>
      </c>
      <c r="B1" s="760"/>
      <c r="C1" s="760"/>
      <c r="D1" s="760"/>
      <c r="E1" s="760"/>
      <c r="F1" s="760"/>
      <c r="G1" s="760"/>
      <c r="H1" s="760"/>
      <c r="I1" s="760"/>
      <c r="J1" s="760"/>
      <c r="K1" s="760"/>
      <c r="L1" s="760"/>
      <c r="M1" s="760"/>
      <c r="N1" s="760"/>
      <c r="O1" s="760"/>
      <c r="P1" s="760"/>
      <c r="Q1" s="760"/>
      <c r="R1" s="760"/>
      <c r="S1" s="760"/>
      <c r="T1" s="760"/>
      <c r="U1" s="760"/>
      <c r="V1" s="760"/>
      <c r="W1" s="760"/>
      <c r="X1" s="760"/>
    </row>
    <row r="2" spans="1:31">
      <c r="A2" s="769" t="s">
        <v>537</v>
      </c>
      <c r="B2" s="769"/>
      <c r="C2" s="769"/>
      <c r="D2" s="769"/>
      <c r="E2" s="769"/>
      <c r="F2" s="769"/>
      <c r="G2" s="769"/>
      <c r="H2" s="769"/>
      <c r="I2" s="769"/>
      <c r="J2" s="769"/>
      <c r="K2" s="769"/>
      <c r="L2" s="769"/>
      <c r="M2" s="769"/>
      <c r="N2" s="769"/>
      <c r="O2" s="769"/>
      <c r="P2" s="769"/>
      <c r="Q2" s="769"/>
      <c r="R2" s="769"/>
      <c r="S2" s="769"/>
      <c r="T2" s="769"/>
      <c r="U2" s="769"/>
      <c r="V2" s="769"/>
      <c r="W2" s="769"/>
      <c r="X2" s="769"/>
    </row>
    <row r="3" spans="1:31">
      <c r="X3" s="87" t="s">
        <v>94</v>
      </c>
    </row>
    <row r="4" spans="1:31" s="6" customFormat="1" ht="31.5" customHeight="1">
      <c r="A4" s="761" t="s">
        <v>3</v>
      </c>
      <c r="B4" s="761" t="s">
        <v>2</v>
      </c>
      <c r="C4" s="761" t="s">
        <v>46</v>
      </c>
      <c r="D4" s="762" t="s">
        <v>12</v>
      </c>
      <c r="E4" s="763"/>
      <c r="F4" s="763"/>
      <c r="G4" s="763"/>
      <c r="H4" s="763"/>
      <c r="I4" s="763"/>
      <c r="J4" s="764"/>
      <c r="K4" s="756" t="s">
        <v>80</v>
      </c>
      <c r="L4" s="756" t="s">
        <v>74</v>
      </c>
      <c r="M4" s="755" t="s">
        <v>13</v>
      </c>
      <c r="N4" s="755" t="s">
        <v>43</v>
      </c>
      <c r="O4" s="765" t="s">
        <v>8</v>
      </c>
      <c r="P4" s="765"/>
      <c r="Q4" s="762" t="s">
        <v>218</v>
      </c>
      <c r="R4" s="763"/>
      <c r="S4" s="763"/>
      <c r="T4" s="764"/>
      <c r="U4" s="755" t="s">
        <v>47</v>
      </c>
      <c r="V4" s="753" t="s">
        <v>66</v>
      </c>
      <c r="W4" s="755" t="s">
        <v>48</v>
      </c>
      <c r="X4" s="755" t="s">
        <v>49</v>
      </c>
      <c r="Y4" s="27"/>
      <c r="AD4" s="451"/>
      <c r="AE4" s="451"/>
    </row>
    <row r="5" spans="1:31" s="6" customFormat="1" ht="50.25" customHeight="1">
      <c r="A5" s="761"/>
      <c r="B5" s="761"/>
      <c r="C5" s="761"/>
      <c r="D5" s="761" t="s">
        <v>4</v>
      </c>
      <c r="E5" s="756" t="s">
        <v>14</v>
      </c>
      <c r="F5" s="756" t="s">
        <v>15</v>
      </c>
      <c r="G5" s="756" t="s">
        <v>16</v>
      </c>
      <c r="H5" s="756" t="s">
        <v>17</v>
      </c>
      <c r="I5" s="756" t="s">
        <v>70</v>
      </c>
      <c r="J5" s="756" t="s">
        <v>18</v>
      </c>
      <c r="K5" s="757"/>
      <c r="L5" s="757"/>
      <c r="M5" s="755"/>
      <c r="N5" s="755"/>
      <c r="O5" s="765"/>
      <c r="P5" s="765"/>
      <c r="Q5" s="761" t="s">
        <v>5</v>
      </c>
      <c r="R5" s="761" t="s">
        <v>219</v>
      </c>
      <c r="S5" s="761" t="s">
        <v>220</v>
      </c>
      <c r="T5" s="761"/>
      <c r="U5" s="755"/>
      <c r="V5" s="753"/>
      <c r="W5" s="755"/>
      <c r="X5" s="755"/>
      <c r="Y5" s="27"/>
      <c r="AD5" s="451"/>
      <c r="AE5" s="451"/>
    </row>
    <row r="6" spans="1:31" s="6" customFormat="1" ht="69" customHeight="1">
      <c r="A6" s="761"/>
      <c r="B6" s="761"/>
      <c r="C6" s="761"/>
      <c r="D6" s="761"/>
      <c r="E6" s="758"/>
      <c r="F6" s="758"/>
      <c r="G6" s="758"/>
      <c r="H6" s="758"/>
      <c r="I6" s="758"/>
      <c r="J6" s="758"/>
      <c r="K6" s="758"/>
      <c r="L6" s="758"/>
      <c r="M6" s="755"/>
      <c r="N6" s="755"/>
      <c r="O6" s="91" t="s">
        <v>65</v>
      </c>
      <c r="P6" s="91" t="s">
        <v>64</v>
      </c>
      <c r="Q6" s="761"/>
      <c r="R6" s="761"/>
      <c r="S6" s="89" t="s">
        <v>6</v>
      </c>
      <c r="T6" s="89" t="s">
        <v>7</v>
      </c>
      <c r="U6" s="755"/>
      <c r="V6" s="753"/>
      <c r="W6" s="755"/>
      <c r="X6" s="755"/>
      <c r="Y6" s="27"/>
      <c r="AA6" s="27"/>
      <c r="AD6" s="451"/>
      <c r="AE6" s="451"/>
    </row>
    <row r="7" spans="1:31" s="6" customFormat="1" ht="19.5" customHeight="1">
      <c r="A7" s="89">
        <v>1</v>
      </c>
      <c r="B7" s="89">
        <v>2</v>
      </c>
      <c r="C7" s="71">
        <v>3</v>
      </c>
      <c r="D7" s="89">
        <v>4</v>
      </c>
      <c r="E7" s="89">
        <v>5</v>
      </c>
      <c r="F7" s="89">
        <v>6</v>
      </c>
      <c r="G7" s="89">
        <v>7</v>
      </c>
      <c r="H7" s="89">
        <v>8</v>
      </c>
      <c r="I7" s="89">
        <v>9</v>
      </c>
      <c r="J7" s="89">
        <v>10</v>
      </c>
      <c r="K7" s="89">
        <v>11</v>
      </c>
      <c r="L7" s="89">
        <v>12</v>
      </c>
      <c r="M7" s="89">
        <v>13</v>
      </c>
      <c r="N7" s="89">
        <v>14</v>
      </c>
      <c r="O7" s="217" t="s">
        <v>81</v>
      </c>
      <c r="P7" s="89">
        <v>16</v>
      </c>
      <c r="Q7" s="89">
        <v>17</v>
      </c>
      <c r="R7" s="89">
        <v>18</v>
      </c>
      <c r="S7" s="89">
        <v>19</v>
      </c>
      <c r="T7" s="89">
        <v>20</v>
      </c>
      <c r="U7" s="89">
        <v>21</v>
      </c>
      <c r="V7" s="89">
        <v>22</v>
      </c>
      <c r="W7" s="89">
        <v>23</v>
      </c>
      <c r="X7" s="89">
        <v>24</v>
      </c>
      <c r="Y7" s="27"/>
      <c r="AD7" s="451"/>
      <c r="AE7" s="451"/>
    </row>
    <row r="8" spans="1:31" s="29" customFormat="1">
      <c r="A8" s="31"/>
      <c r="B8" s="32" t="s">
        <v>24</v>
      </c>
      <c r="C8" s="33"/>
      <c r="D8" s="33"/>
      <c r="E8" s="33">
        <f>E9+E44</f>
        <v>425968727</v>
      </c>
      <c r="F8" s="33">
        <f>F9+F25</f>
        <v>235264808</v>
      </c>
      <c r="G8" s="33">
        <f>G9+G25</f>
        <v>36607261</v>
      </c>
      <c r="H8" s="33">
        <f>H9+H25</f>
        <v>2112636</v>
      </c>
      <c r="I8" s="33">
        <f>I9+I25</f>
        <v>52438393</v>
      </c>
      <c r="J8" s="33">
        <f>J9+J25</f>
        <v>23419697</v>
      </c>
      <c r="K8" s="33">
        <f>K9+K44</f>
        <v>223265003</v>
      </c>
      <c r="L8" s="33">
        <f>L9+L44</f>
        <v>141810089.74000001</v>
      </c>
      <c r="M8" s="33"/>
      <c r="N8" s="33"/>
      <c r="O8" s="33">
        <f>O9+O44</f>
        <v>125790414.83</v>
      </c>
      <c r="P8" s="33"/>
      <c r="Q8" s="33">
        <f>Q9+Q44</f>
        <v>343516757</v>
      </c>
      <c r="R8" s="33">
        <f>R9+R44</f>
        <v>264477662</v>
      </c>
      <c r="S8" s="33">
        <f>S9+S44</f>
        <v>79039095</v>
      </c>
      <c r="T8" s="33">
        <f>T9+T44</f>
        <v>0</v>
      </c>
      <c r="U8" s="33">
        <f>U9+U44</f>
        <v>30088876</v>
      </c>
      <c r="V8" s="448">
        <f t="shared" ref="V8:V13" si="0">U8/Q8*100</f>
        <v>8.7590708129560024</v>
      </c>
      <c r="W8" s="33">
        <f>W9+W44</f>
        <v>102988559</v>
      </c>
      <c r="X8" s="32"/>
      <c r="Y8" s="28">
        <f>U8/(R8+S8)*100</f>
        <v>8.7590708129560024</v>
      </c>
      <c r="AB8" s="29">
        <f>'Trước 13 hàng tháng'!J143</f>
        <v>30088876</v>
      </c>
      <c r="AD8" s="80"/>
      <c r="AE8" s="80"/>
    </row>
    <row r="9" spans="1:31" s="29" customFormat="1">
      <c r="A9" s="2" t="s">
        <v>19</v>
      </c>
      <c r="B9" s="43" t="s">
        <v>31</v>
      </c>
      <c r="C9" s="1"/>
      <c r="D9" s="1"/>
      <c r="E9" s="1">
        <f t="shared" ref="E9:L9" si="1">E10+E25</f>
        <v>310402100</v>
      </c>
      <c r="F9" s="1">
        <f t="shared" si="1"/>
        <v>203683164</v>
      </c>
      <c r="G9" s="1">
        <f t="shared" si="1"/>
        <v>31177333</v>
      </c>
      <c r="H9" s="1">
        <f t="shared" si="1"/>
        <v>2112636</v>
      </c>
      <c r="I9" s="1">
        <f t="shared" si="1"/>
        <v>51922541</v>
      </c>
      <c r="J9" s="1">
        <f t="shared" si="1"/>
        <v>21506426</v>
      </c>
      <c r="K9" s="1">
        <f t="shared" si="1"/>
        <v>131483443</v>
      </c>
      <c r="L9" s="1">
        <f t="shared" si="1"/>
        <v>119130519.14</v>
      </c>
      <c r="M9" s="44"/>
      <c r="N9" s="44"/>
      <c r="O9" s="1">
        <f>O10+O25</f>
        <v>110964052.05</v>
      </c>
      <c r="P9" s="44"/>
      <c r="Q9" s="1">
        <f>Q10+Q25</f>
        <v>125357095</v>
      </c>
      <c r="R9" s="1">
        <f>R10+R25</f>
        <v>46318000</v>
      </c>
      <c r="S9" s="1">
        <f>S10+S25</f>
        <v>79039095</v>
      </c>
      <c r="T9" s="1">
        <f>T10+T25</f>
        <v>0</v>
      </c>
      <c r="U9" s="1">
        <f>U10+U25</f>
        <v>17421047</v>
      </c>
      <c r="V9" s="97">
        <f>U9/Q9*100</f>
        <v>13.89713681543115</v>
      </c>
      <c r="W9" s="1">
        <f>W10+W25</f>
        <v>90577044</v>
      </c>
      <c r="X9" s="34"/>
      <c r="Y9" s="28"/>
      <c r="AD9" s="80"/>
      <c r="AE9" s="80"/>
    </row>
    <row r="10" spans="1:31" s="72" customFormat="1" ht="25.5">
      <c r="A10" s="2" t="s">
        <v>9</v>
      </c>
      <c r="B10" s="67" t="s">
        <v>42</v>
      </c>
      <c r="C10" s="44"/>
      <c r="D10" s="44"/>
      <c r="E10" s="44">
        <f t="shared" ref="E10:L10" si="2">E11+E13+E16</f>
        <v>270961405</v>
      </c>
      <c r="F10" s="44">
        <f t="shared" si="2"/>
        <v>172101520</v>
      </c>
      <c r="G10" s="44">
        <f t="shared" si="2"/>
        <v>25747405</v>
      </c>
      <c r="H10" s="44">
        <f t="shared" si="2"/>
        <v>2112636</v>
      </c>
      <c r="I10" s="44">
        <f t="shared" si="2"/>
        <v>51406689</v>
      </c>
      <c r="J10" s="44">
        <f t="shared" si="2"/>
        <v>19593155</v>
      </c>
      <c r="K10" s="44">
        <f t="shared" si="2"/>
        <v>99682491</v>
      </c>
      <c r="L10" s="44">
        <f t="shared" si="2"/>
        <v>93177120</v>
      </c>
      <c r="M10" s="44"/>
      <c r="N10" s="44"/>
      <c r="O10" s="44">
        <f>O11+O13+O16</f>
        <v>76851525.349999994</v>
      </c>
      <c r="P10" s="44"/>
      <c r="Q10" s="44">
        <f>Q11+Q13+Q16</f>
        <v>110207176</v>
      </c>
      <c r="R10" s="44">
        <f>R11+R13+R16</f>
        <v>35902000</v>
      </c>
      <c r="S10" s="44">
        <f>S11+S13+S16</f>
        <v>74305176</v>
      </c>
      <c r="T10" s="44">
        <f>T11+T13+T16</f>
        <v>0</v>
      </c>
      <c r="U10" s="44">
        <f>U11+U13+U16</f>
        <v>9013270</v>
      </c>
      <c r="V10" s="97">
        <f t="shared" si="0"/>
        <v>8.1784783234079068</v>
      </c>
      <c r="W10" s="44">
        <f>W11+W13+W16</f>
        <v>68168136</v>
      </c>
      <c r="X10" s="2"/>
      <c r="Y10" s="28"/>
      <c r="AA10" s="92"/>
      <c r="AB10" s="92">
        <f>U8-AB8</f>
        <v>0</v>
      </c>
      <c r="AD10" s="150"/>
      <c r="AE10" s="150"/>
    </row>
    <row r="11" spans="1:31" s="72" customFormat="1">
      <c r="A11" s="2" t="s">
        <v>37</v>
      </c>
      <c r="B11" s="67" t="s">
        <v>634</v>
      </c>
      <c r="C11" s="44"/>
      <c r="D11" s="44"/>
      <c r="E11" s="44">
        <f>E12</f>
        <v>79617313</v>
      </c>
      <c r="F11" s="44">
        <f t="shared" ref="F11:L11" si="3">F12</f>
        <v>43434048</v>
      </c>
      <c r="G11" s="44">
        <f t="shared" si="3"/>
        <v>4368421</v>
      </c>
      <c r="H11" s="44">
        <f t="shared" si="3"/>
        <v>0</v>
      </c>
      <c r="I11" s="44">
        <f t="shared" si="3"/>
        <v>26692380</v>
      </c>
      <c r="J11" s="44">
        <f t="shared" si="3"/>
        <v>5122464</v>
      </c>
      <c r="K11" s="44">
        <f t="shared" si="3"/>
        <v>0</v>
      </c>
      <c r="L11" s="44">
        <f t="shared" si="3"/>
        <v>0</v>
      </c>
      <c r="M11" s="44"/>
      <c r="N11" s="44"/>
      <c r="O11" s="44">
        <f>O12</f>
        <v>0</v>
      </c>
      <c r="P11" s="44"/>
      <c r="Q11" s="44">
        <f>Q12</f>
        <v>50000000</v>
      </c>
      <c r="R11" s="44">
        <f>R12</f>
        <v>20000000</v>
      </c>
      <c r="S11" s="44">
        <f>S12</f>
        <v>30000000</v>
      </c>
      <c r="T11" s="44">
        <f>T12</f>
        <v>0</v>
      </c>
      <c r="U11" s="44">
        <f>U12</f>
        <v>1398471</v>
      </c>
      <c r="V11" s="97">
        <f t="shared" si="0"/>
        <v>2.796942</v>
      </c>
      <c r="W11" s="44">
        <f>W12</f>
        <v>1398471</v>
      </c>
      <c r="X11" s="2"/>
      <c r="Y11" s="28"/>
      <c r="AA11" s="92"/>
      <c r="AB11" s="92"/>
      <c r="AD11" s="150"/>
      <c r="AE11" s="150"/>
    </row>
    <row r="12" spans="1:31" s="125" customFormat="1" ht="106.5" customHeight="1">
      <c r="A12" s="110">
        <v>1</v>
      </c>
      <c r="B12" s="111" t="s">
        <v>119</v>
      </c>
      <c r="C12" s="112" t="s">
        <v>120</v>
      </c>
      <c r="D12" s="113" t="s">
        <v>479</v>
      </c>
      <c r="E12" s="114">
        <f>SUM(F12:J12)</f>
        <v>79617313</v>
      </c>
      <c r="F12" s="115">
        <v>43434048</v>
      </c>
      <c r="G12" s="115">
        <f>861179+2587082+920160</f>
        <v>4368421</v>
      </c>
      <c r="H12" s="115"/>
      <c r="I12" s="115">
        <v>26692380</v>
      </c>
      <c r="J12" s="115">
        <v>5122464</v>
      </c>
      <c r="K12" s="115"/>
      <c r="L12" s="115"/>
      <c r="M12" s="116"/>
      <c r="N12" s="117"/>
      <c r="O12" s="118"/>
      <c r="P12" s="119"/>
      <c r="Q12" s="120">
        <f>SUM(R12:T12)</f>
        <v>50000000</v>
      </c>
      <c r="R12" s="120">
        <v>20000000</v>
      </c>
      <c r="S12" s="120">
        <f>17000000+13000000</f>
        <v>30000000</v>
      </c>
      <c r="T12" s="120"/>
      <c r="U12" s="121">
        <v>1398471</v>
      </c>
      <c r="V12" s="122">
        <f t="shared" si="0"/>
        <v>2.796942</v>
      </c>
      <c r="W12" s="121">
        <f>U12</f>
        <v>1398471</v>
      </c>
      <c r="X12" s="378" t="s">
        <v>606</v>
      </c>
      <c r="Y12" s="124"/>
      <c r="Z12" s="126" t="s">
        <v>598</v>
      </c>
      <c r="AA12" s="126"/>
      <c r="AB12" s="462" t="s">
        <v>553</v>
      </c>
      <c r="AC12" s="462" t="s">
        <v>551</v>
      </c>
      <c r="AD12" s="452"/>
      <c r="AE12" s="452"/>
    </row>
    <row r="13" spans="1:31" s="7" customFormat="1">
      <c r="A13" s="2" t="s">
        <v>38</v>
      </c>
      <c r="B13" s="1" t="s">
        <v>249</v>
      </c>
      <c r="C13" s="1"/>
      <c r="D13" s="1"/>
      <c r="E13" s="1">
        <f>SUM(E14:E15)</f>
        <v>16202753</v>
      </c>
      <c r="F13" s="1">
        <f t="shared" ref="F13:L13" si="4">SUM(F14:F15)</f>
        <v>12876697</v>
      </c>
      <c r="G13" s="1">
        <f t="shared" si="4"/>
        <v>2494809</v>
      </c>
      <c r="H13" s="1">
        <f t="shared" si="4"/>
        <v>29500</v>
      </c>
      <c r="I13" s="1">
        <f t="shared" si="4"/>
        <v>30000</v>
      </c>
      <c r="J13" s="1">
        <f t="shared" si="4"/>
        <v>771747</v>
      </c>
      <c r="K13" s="1">
        <f t="shared" si="4"/>
        <v>13118860</v>
      </c>
      <c r="L13" s="1">
        <f t="shared" si="4"/>
        <v>13015050</v>
      </c>
      <c r="M13" s="44"/>
      <c r="N13" s="44"/>
      <c r="O13" s="1">
        <f>SUM(O14:O15)</f>
        <v>13623849.030000001</v>
      </c>
      <c r="P13" s="44"/>
      <c r="Q13" s="1">
        <f>SUM(Q14:Q15)</f>
        <v>4450462</v>
      </c>
      <c r="R13" s="1">
        <f>SUM(R14:R15)</f>
        <v>4047000</v>
      </c>
      <c r="S13" s="1">
        <f>SUM(S14:S15)</f>
        <v>403462</v>
      </c>
      <c r="T13" s="1">
        <f>SUM(T14:T15)</f>
        <v>0</v>
      </c>
      <c r="U13" s="1">
        <f>SUM(U14:U15)</f>
        <v>2174654</v>
      </c>
      <c r="V13" s="97">
        <f t="shared" si="0"/>
        <v>48.863556188099125</v>
      </c>
      <c r="W13" s="1">
        <f>SUM(W14:W15)</f>
        <v>11524607</v>
      </c>
      <c r="X13" s="76"/>
      <c r="Y13" s="28"/>
      <c r="AA13" s="77"/>
      <c r="AD13" s="79"/>
      <c r="AE13" s="79"/>
    </row>
    <row r="14" spans="1:31" ht="64.5" customHeight="1">
      <c r="A14" s="8">
        <v>2</v>
      </c>
      <c r="B14" s="9" t="s">
        <v>20</v>
      </c>
      <c r="C14" s="10" t="s">
        <v>53</v>
      </c>
      <c r="D14" s="3" t="s">
        <v>69</v>
      </c>
      <c r="E14" s="11">
        <f>SUM(F14:J14)</f>
        <v>7323868</v>
      </c>
      <c r="F14" s="12">
        <v>5849034</v>
      </c>
      <c r="G14" s="12">
        <f>174954+555470+380904</f>
        <v>1111328</v>
      </c>
      <c r="H14" s="12">
        <v>14750</v>
      </c>
      <c r="I14" s="12">
        <v>0</v>
      </c>
      <c r="J14" s="12">
        <v>348756</v>
      </c>
      <c r="K14" s="12">
        <v>6010506</v>
      </c>
      <c r="L14" s="12">
        <v>5979880</v>
      </c>
      <c r="M14" s="13" t="s">
        <v>78</v>
      </c>
      <c r="N14" s="14" t="s">
        <v>148</v>
      </c>
      <c r="O14" s="26">
        <f t="shared" ref="O14:O19" si="5">P14*E14/100</f>
        <v>4833752.88</v>
      </c>
      <c r="P14" s="15">
        <v>66</v>
      </c>
      <c r="Q14" s="24">
        <f>SUM(R14:T14)</f>
        <v>1950462</v>
      </c>
      <c r="R14" s="221">
        <v>1547000</v>
      </c>
      <c r="S14" s="25">
        <f>631159-227697</f>
        <v>403462</v>
      </c>
      <c r="T14" s="24"/>
      <c r="U14" s="35"/>
      <c r="V14" s="36">
        <f t="shared" ref="V14:V19" si="6">U14/Q14*100</f>
        <v>0</v>
      </c>
      <c r="W14" s="35">
        <f>4349953+U14</f>
        <v>4349953</v>
      </c>
      <c r="X14" s="3" t="s">
        <v>260</v>
      </c>
      <c r="Y14" s="749"/>
      <c r="Z14" s="750"/>
      <c r="AA14" s="81"/>
      <c r="AB14" s="218" t="s">
        <v>307</v>
      </c>
      <c r="AC14" s="93"/>
      <c r="AD14" s="137"/>
    </row>
    <row r="15" spans="1:31" s="125" customFormat="1" ht="95.25" customHeight="1">
      <c r="A15" s="110">
        <v>3</v>
      </c>
      <c r="B15" s="111" t="s">
        <v>100</v>
      </c>
      <c r="C15" s="112" t="s">
        <v>55</v>
      </c>
      <c r="D15" s="113" t="s">
        <v>101</v>
      </c>
      <c r="E15" s="114">
        <f>SUM(F15:J15)</f>
        <v>8878885</v>
      </c>
      <c r="F15" s="115">
        <v>7027663</v>
      </c>
      <c r="G15" s="115">
        <f>210120+679489+493872</f>
        <v>1383481</v>
      </c>
      <c r="H15" s="115">
        <v>14750</v>
      </c>
      <c r="I15" s="115">
        <v>30000</v>
      </c>
      <c r="J15" s="115">
        <v>422991</v>
      </c>
      <c r="K15" s="115">
        <v>7108354</v>
      </c>
      <c r="L15" s="115">
        <v>7035170</v>
      </c>
      <c r="M15" s="116" t="s">
        <v>67</v>
      </c>
      <c r="N15" s="117" t="s">
        <v>141</v>
      </c>
      <c r="O15" s="118">
        <f>P15*E15/100</f>
        <v>8790096.1500000004</v>
      </c>
      <c r="P15" s="119">
        <v>99</v>
      </c>
      <c r="Q15" s="120">
        <f>SUM(R15:T15)</f>
        <v>2500000</v>
      </c>
      <c r="R15" s="219">
        <v>2500000</v>
      </c>
      <c r="S15" s="120"/>
      <c r="T15" s="120"/>
      <c r="U15" s="121">
        <f>1670346+470570+33738</f>
        <v>2174654</v>
      </c>
      <c r="V15" s="131">
        <f>U15/Q15*100</f>
        <v>86.986159999999998</v>
      </c>
      <c r="W15" s="121">
        <f>5000000+U15</f>
        <v>7174654</v>
      </c>
      <c r="X15" s="123" t="s">
        <v>558</v>
      </c>
      <c r="Y15" s="152"/>
      <c r="Z15" s="137"/>
      <c r="AA15" s="137"/>
      <c r="AB15" s="218" t="s">
        <v>307</v>
      </c>
      <c r="AC15" s="147"/>
      <c r="AD15" s="147"/>
      <c r="AE15" s="147"/>
    </row>
    <row r="16" spans="1:31" s="7" customFormat="1">
      <c r="A16" s="2" t="s">
        <v>108</v>
      </c>
      <c r="B16" s="70" t="s">
        <v>250</v>
      </c>
      <c r="C16" s="73"/>
      <c r="D16" s="73"/>
      <c r="E16" s="1">
        <f>SUM(E17:E24)</f>
        <v>175141339</v>
      </c>
      <c r="F16" s="1">
        <f t="shared" ref="F16:L16" si="7">SUM(F17:F24)</f>
        <v>115790775</v>
      </c>
      <c r="G16" s="1">
        <f t="shared" si="7"/>
        <v>18884175</v>
      </c>
      <c r="H16" s="1">
        <f t="shared" si="7"/>
        <v>2083136</v>
      </c>
      <c r="I16" s="1">
        <f t="shared" si="7"/>
        <v>24684309</v>
      </c>
      <c r="J16" s="1">
        <f t="shared" si="7"/>
        <v>13698944</v>
      </c>
      <c r="K16" s="1">
        <f t="shared" si="7"/>
        <v>86563631</v>
      </c>
      <c r="L16" s="1">
        <f t="shared" si="7"/>
        <v>80162070</v>
      </c>
      <c r="M16" s="44"/>
      <c r="N16" s="44"/>
      <c r="O16" s="1">
        <f>SUM(O17:O24)</f>
        <v>63227676.32</v>
      </c>
      <c r="P16" s="44"/>
      <c r="Q16" s="1">
        <f>SUM(Q17:Q24)</f>
        <v>55756714</v>
      </c>
      <c r="R16" s="1">
        <f>SUM(R17:R24)</f>
        <v>11855000</v>
      </c>
      <c r="S16" s="1">
        <f>SUM(S17:S24)</f>
        <v>43901714</v>
      </c>
      <c r="T16" s="1">
        <f>SUM(T17:T24)</f>
        <v>0</v>
      </c>
      <c r="U16" s="1">
        <f>SUM(U17:U24)</f>
        <v>5440145</v>
      </c>
      <c r="V16" s="45">
        <f t="shared" si="6"/>
        <v>9.7569325911136016</v>
      </c>
      <c r="W16" s="1">
        <f>SUM(W17:W24)</f>
        <v>55245058</v>
      </c>
      <c r="X16" s="76"/>
      <c r="Y16" s="153"/>
      <c r="Z16" s="79"/>
      <c r="AA16" s="79"/>
      <c r="AB16" s="79"/>
      <c r="AC16" s="79"/>
      <c r="AD16" s="79"/>
      <c r="AE16" s="79"/>
    </row>
    <row r="17" spans="1:31" ht="118.5" customHeight="1">
      <c r="A17" s="8">
        <v>4</v>
      </c>
      <c r="B17" s="9" t="s">
        <v>21</v>
      </c>
      <c r="C17" s="10" t="s">
        <v>57</v>
      </c>
      <c r="D17" s="3" t="s">
        <v>22</v>
      </c>
      <c r="E17" s="11">
        <f t="shared" ref="E17:E24" si="8">SUM(F17:J17)</f>
        <v>14385993</v>
      </c>
      <c r="F17" s="12">
        <v>10330393</v>
      </c>
      <c r="G17" s="12">
        <v>2408739</v>
      </c>
      <c r="H17" s="12">
        <v>339043</v>
      </c>
      <c r="I17" s="12"/>
      <c r="J17" s="12">
        <v>1307818</v>
      </c>
      <c r="K17" s="12">
        <v>10732100</v>
      </c>
      <c r="L17" s="12">
        <v>9689000</v>
      </c>
      <c r="M17" s="13" t="s">
        <v>67</v>
      </c>
      <c r="N17" s="14" t="s">
        <v>490</v>
      </c>
      <c r="O17" s="26">
        <f t="shared" si="5"/>
        <v>11221074.539999999</v>
      </c>
      <c r="P17" s="15">
        <v>78</v>
      </c>
      <c r="Q17" s="24">
        <f t="shared" ref="Q17:Q24" si="9">SUM(R17:T17)</f>
        <v>2457315</v>
      </c>
      <c r="R17" s="24"/>
      <c r="S17" s="24">
        <f>1275000-634758+1817073</f>
        <v>2457315</v>
      </c>
      <c r="T17" s="24"/>
      <c r="U17" s="35"/>
      <c r="V17" s="36">
        <f t="shared" si="6"/>
        <v>0</v>
      </c>
      <c r="W17" s="35">
        <f>4134758+U17</f>
        <v>4134758</v>
      </c>
      <c r="X17" s="18" t="s">
        <v>480</v>
      </c>
      <c r="Y17" s="153"/>
      <c r="Z17" s="462" t="s">
        <v>552</v>
      </c>
      <c r="AA17" s="93"/>
      <c r="AB17" s="93"/>
      <c r="AC17" s="78"/>
    </row>
    <row r="18" spans="1:31" s="125" customFormat="1" ht="95.25" customHeight="1">
      <c r="A18" s="110">
        <v>5</v>
      </c>
      <c r="B18" s="127" t="s">
        <v>60</v>
      </c>
      <c r="C18" s="112" t="s">
        <v>52</v>
      </c>
      <c r="D18" s="113" t="s">
        <v>73</v>
      </c>
      <c r="E18" s="114">
        <f t="shared" si="8"/>
        <v>48780252</v>
      </c>
      <c r="F18" s="115">
        <v>29814916</v>
      </c>
      <c r="G18" s="115">
        <v>5007233</v>
      </c>
      <c r="H18" s="115"/>
      <c r="I18" s="115">
        <v>7873109</v>
      </c>
      <c r="J18" s="115">
        <v>6084994</v>
      </c>
      <c r="K18" s="115">
        <v>34260732</v>
      </c>
      <c r="L18" s="115">
        <v>33159935</v>
      </c>
      <c r="M18" s="116" t="s">
        <v>96</v>
      </c>
      <c r="N18" s="128" t="s">
        <v>140</v>
      </c>
      <c r="O18" s="118">
        <f t="shared" si="5"/>
        <v>12682865.52</v>
      </c>
      <c r="P18" s="119">
        <v>26</v>
      </c>
      <c r="Q18" s="120">
        <f t="shared" si="9"/>
        <v>12860000</v>
      </c>
      <c r="R18" s="120"/>
      <c r="S18" s="129">
        <f>12860000</f>
        <v>12860000</v>
      </c>
      <c r="T18" s="120"/>
      <c r="U18" s="121"/>
      <c r="V18" s="122">
        <f t="shared" si="6"/>
        <v>0</v>
      </c>
      <c r="W18" s="121">
        <f>15906202+U18</f>
        <v>15906202</v>
      </c>
      <c r="X18" s="123" t="s">
        <v>491</v>
      </c>
      <c r="Y18" s="152"/>
      <c r="Z18" s="402" t="s">
        <v>512</v>
      </c>
      <c r="AA18" s="137"/>
      <c r="AB18" s="137"/>
      <c r="AC18" s="148"/>
      <c r="AD18" s="147"/>
      <c r="AE18" s="147"/>
    </row>
    <row r="19" spans="1:31" ht="118.5" customHeight="1">
      <c r="A19" s="8">
        <v>6</v>
      </c>
      <c r="B19" s="17" t="s">
        <v>63</v>
      </c>
      <c r="C19" s="10" t="s">
        <v>50</v>
      </c>
      <c r="D19" s="3" t="s">
        <v>75</v>
      </c>
      <c r="E19" s="11">
        <f t="shared" si="8"/>
        <v>12122091</v>
      </c>
      <c r="F19" s="12">
        <f>9305588+70783</f>
        <v>9376371</v>
      </c>
      <c r="G19" s="12">
        <f>302733+957902+605113</f>
        <v>1865748</v>
      </c>
      <c r="H19" s="12">
        <v>317867</v>
      </c>
      <c r="I19" s="12"/>
      <c r="J19" s="12">
        <v>562105</v>
      </c>
      <c r="K19" s="12">
        <v>9708279</v>
      </c>
      <c r="L19" s="12">
        <v>8477592</v>
      </c>
      <c r="M19" s="13" t="s">
        <v>68</v>
      </c>
      <c r="N19" s="183" t="s">
        <v>149</v>
      </c>
      <c r="O19" s="26">
        <f t="shared" si="5"/>
        <v>11273544.630000001</v>
      </c>
      <c r="P19" s="15">
        <v>93</v>
      </c>
      <c r="Q19" s="24">
        <f t="shared" si="9"/>
        <v>990000</v>
      </c>
      <c r="R19" s="220">
        <v>990000</v>
      </c>
      <c r="S19" s="24"/>
      <c r="T19" s="24"/>
      <c r="U19" s="35">
        <v>880555</v>
      </c>
      <c r="V19" s="184">
        <f t="shared" si="6"/>
        <v>88.944949494949498</v>
      </c>
      <c r="W19" s="35">
        <f>9320000+U19</f>
        <v>10200555</v>
      </c>
      <c r="X19" s="13" t="s">
        <v>481</v>
      </c>
      <c r="Y19" s="153"/>
      <c r="Z19" s="93"/>
      <c r="AA19" s="93"/>
      <c r="AB19" s="218" t="s">
        <v>307</v>
      </c>
      <c r="AC19" s="78"/>
    </row>
    <row r="20" spans="1:31" s="125" customFormat="1" ht="93" customHeight="1">
      <c r="A20" s="110">
        <v>7</v>
      </c>
      <c r="B20" s="111" t="s">
        <v>109</v>
      </c>
      <c r="C20" s="112" t="s">
        <v>57</v>
      </c>
      <c r="D20" s="113" t="s">
        <v>155</v>
      </c>
      <c r="E20" s="114">
        <f t="shared" si="8"/>
        <v>9927352</v>
      </c>
      <c r="F20" s="115">
        <v>7845658</v>
      </c>
      <c r="G20" s="115">
        <f>233943+896486+256762</f>
        <v>1387191</v>
      </c>
      <c r="H20" s="115">
        <v>232861</v>
      </c>
      <c r="I20" s="115"/>
      <c r="J20" s="115">
        <v>461642</v>
      </c>
      <c r="K20" s="115">
        <f>F20</f>
        <v>7845658</v>
      </c>
      <c r="L20" s="115">
        <v>6811285</v>
      </c>
      <c r="M20" s="116" t="s">
        <v>98</v>
      </c>
      <c r="N20" s="117" t="s">
        <v>142</v>
      </c>
      <c r="O20" s="118">
        <f>P20*E20/100</f>
        <v>9927352</v>
      </c>
      <c r="P20" s="119">
        <v>100</v>
      </c>
      <c r="Q20" s="120">
        <f t="shared" si="9"/>
        <v>3630514</v>
      </c>
      <c r="R20" s="120">
        <v>3576000</v>
      </c>
      <c r="S20" s="120">
        <f>5500000-5445486</f>
        <v>54514</v>
      </c>
      <c r="T20" s="120"/>
      <c r="U20" s="121">
        <v>2406214</v>
      </c>
      <c r="V20" s="122">
        <f t="shared" ref="V20:V25" si="10">U20/Q20*100</f>
        <v>66.277502304081466</v>
      </c>
      <c r="W20" s="121">
        <f>5445486+U20</f>
        <v>7851700</v>
      </c>
      <c r="X20" s="123" t="s">
        <v>286</v>
      </c>
      <c r="Y20" s="152"/>
      <c r="Z20" s="126" t="s">
        <v>244</v>
      </c>
      <c r="AA20" s="126" t="s">
        <v>258</v>
      </c>
      <c r="AC20" s="458"/>
      <c r="AD20" s="149"/>
      <c r="AE20" s="147"/>
    </row>
    <row r="21" spans="1:31" s="125" customFormat="1" ht="93" customHeight="1">
      <c r="A21" s="110">
        <v>8</v>
      </c>
      <c r="B21" s="111" t="s">
        <v>110</v>
      </c>
      <c r="C21" s="112" t="s">
        <v>57</v>
      </c>
      <c r="D21" s="113" t="s">
        <v>156</v>
      </c>
      <c r="E21" s="114">
        <f t="shared" si="8"/>
        <v>11446343</v>
      </c>
      <c r="F21" s="115">
        <v>8901662</v>
      </c>
      <c r="G21" s="115">
        <f>262723+907327+269662</f>
        <v>1439712</v>
      </c>
      <c r="H21" s="115">
        <v>556400</v>
      </c>
      <c r="I21" s="115">
        <v>30000</v>
      </c>
      <c r="J21" s="115">
        <v>518569</v>
      </c>
      <c r="K21" s="115">
        <f>F21</f>
        <v>8901662</v>
      </c>
      <c r="L21" s="115">
        <v>8223606</v>
      </c>
      <c r="M21" s="116" t="s">
        <v>98</v>
      </c>
      <c r="N21" s="117" t="s">
        <v>143</v>
      </c>
      <c r="O21" s="118">
        <f>P21*E21/100</f>
        <v>11446343</v>
      </c>
      <c r="P21" s="119">
        <v>100</v>
      </c>
      <c r="Q21" s="120">
        <f t="shared" si="9"/>
        <v>1677307</v>
      </c>
      <c r="R21" s="120">
        <v>1629000</v>
      </c>
      <c r="S21" s="120">
        <f>8000000-7951693</f>
        <v>48307</v>
      </c>
      <c r="T21" s="120"/>
      <c r="U21" s="121">
        <v>1611498</v>
      </c>
      <c r="V21" s="131">
        <f t="shared" si="10"/>
        <v>96.076508355357731</v>
      </c>
      <c r="W21" s="121">
        <f>7951693+U21</f>
        <v>9563191</v>
      </c>
      <c r="X21" s="123" t="s">
        <v>286</v>
      </c>
      <c r="Y21" s="152"/>
      <c r="Z21" s="126" t="s">
        <v>244</v>
      </c>
      <c r="AA21" s="126" t="s">
        <v>258</v>
      </c>
      <c r="AB21" s="137"/>
      <c r="AC21" s="137"/>
      <c r="AD21" s="149"/>
      <c r="AE21" s="147"/>
    </row>
    <row r="22" spans="1:31" s="125" customFormat="1" ht="93" customHeight="1">
      <c r="A22" s="110">
        <v>9</v>
      </c>
      <c r="B22" s="111" t="s">
        <v>111</v>
      </c>
      <c r="C22" s="112" t="s">
        <v>52</v>
      </c>
      <c r="D22" s="113" t="s">
        <v>157</v>
      </c>
      <c r="E22" s="114">
        <f t="shared" si="8"/>
        <v>13908842</v>
      </c>
      <c r="F22" s="115">
        <f>11027170+99404</f>
        <v>11126574</v>
      </c>
      <c r="G22" s="115">
        <f>328810+1044200+319421</f>
        <v>1692431</v>
      </c>
      <c r="H22" s="115">
        <v>448887</v>
      </c>
      <c r="I22" s="115"/>
      <c r="J22" s="115">
        <v>640950</v>
      </c>
      <c r="K22" s="115">
        <f>F22</f>
        <v>11126574</v>
      </c>
      <c r="L22" s="115">
        <v>9901335</v>
      </c>
      <c r="M22" s="116" t="s">
        <v>99</v>
      </c>
      <c r="N22" s="117" t="s">
        <v>144</v>
      </c>
      <c r="O22" s="118">
        <f>P22*E22/100</f>
        <v>4729006.28</v>
      </c>
      <c r="P22" s="119">
        <v>34</v>
      </c>
      <c r="Q22" s="120">
        <f t="shared" si="9"/>
        <v>6833547</v>
      </c>
      <c r="R22" s="120">
        <v>5355000</v>
      </c>
      <c r="S22" s="120">
        <f>7300000-5821453</f>
        <v>1478547</v>
      </c>
      <c r="T22" s="120"/>
      <c r="U22" s="121">
        <f>11213+4500+13036</f>
        <v>28749</v>
      </c>
      <c r="V22" s="122">
        <f t="shared" si="10"/>
        <v>0.4207039184774759</v>
      </c>
      <c r="W22" s="121">
        <f>5821453+U22</f>
        <v>5850202</v>
      </c>
      <c r="X22" s="123" t="s">
        <v>482</v>
      </c>
      <c r="Y22" s="152"/>
      <c r="Z22" s="126" t="s">
        <v>244</v>
      </c>
      <c r="AA22" s="126" t="s">
        <v>258</v>
      </c>
      <c r="AB22" s="137"/>
      <c r="AC22" s="137"/>
      <c r="AD22" s="149"/>
      <c r="AE22" s="147"/>
    </row>
    <row r="23" spans="1:31" s="125" customFormat="1" ht="93" customHeight="1">
      <c r="A23" s="110">
        <v>10</v>
      </c>
      <c r="B23" s="111" t="s">
        <v>116</v>
      </c>
      <c r="C23" s="112" t="s">
        <v>52</v>
      </c>
      <c r="D23" s="113" t="s">
        <v>163</v>
      </c>
      <c r="E23" s="114">
        <f t="shared" si="8"/>
        <v>4993565</v>
      </c>
      <c r="F23" s="115">
        <v>3988626</v>
      </c>
      <c r="G23" s="115">
        <f>124618+294458+91619</f>
        <v>510695</v>
      </c>
      <c r="H23" s="115">
        <v>188078</v>
      </c>
      <c r="I23" s="115">
        <v>81200</v>
      </c>
      <c r="J23" s="115">
        <v>224966</v>
      </c>
      <c r="K23" s="115">
        <f>F23</f>
        <v>3988626</v>
      </c>
      <c r="L23" s="115">
        <v>3899317</v>
      </c>
      <c r="M23" s="116" t="s">
        <v>150</v>
      </c>
      <c r="N23" s="117" t="s">
        <v>164</v>
      </c>
      <c r="O23" s="118">
        <f>P23*E23/100</f>
        <v>1947490.35</v>
      </c>
      <c r="P23" s="119">
        <v>39</v>
      </c>
      <c r="Q23" s="120">
        <f t="shared" si="9"/>
        <v>2308031</v>
      </c>
      <c r="R23" s="219">
        <v>305000</v>
      </c>
      <c r="S23" s="120">
        <f>3228352-1225321</f>
        <v>2003031</v>
      </c>
      <c r="T23" s="120"/>
      <c r="U23" s="121">
        <v>513129</v>
      </c>
      <c r="V23" s="122">
        <f t="shared" si="10"/>
        <v>22.23232703546876</v>
      </c>
      <c r="W23" s="121">
        <f>1225321+U23</f>
        <v>1738450</v>
      </c>
      <c r="X23" s="123" t="s">
        <v>524</v>
      </c>
      <c r="Y23" s="152"/>
      <c r="Z23" s="137"/>
      <c r="AA23" s="137"/>
      <c r="AB23" s="218" t="s">
        <v>307</v>
      </c>
      <c r="AC23" s="137"/>
      <c r="AD23" s="149"/>
      <c r="AE23" s="147"/>
    </row>
    <row r="24" spans="1:31" s="125" customFormat="1" ht="78.75" customHeight="1">
      <c r="A24" s="110">
        <v>11</v>
      </c>
      <c r="B24" s="111" t="s">
        <v>126</v>
      </c>
      <c r="C24" s="112" t="s">
        <v>58</v>
      </c>
      <c r="D24" s="116" t="s">
        <v>128</v>
      </c>
      <c r="E24" s="114">
        <f t="shared" si="8"/>
        <v>59576901</v>
      </c>
      <c r="F24" s="115">
        <v>34406575</v>
      </c>
      <c r="G24" s="115">
        <f>747874+1889298+1935254</f>
        <v>4572426</v>
      </c>
      <c r="H24" s="115"/>
      <c r="I24" s="115">
        <v>16700000</v>
      </c>
      <c r="J24" s="115">
        <v>3897900</v>
      </c>
      <c r="K24" s="115"/>
      <c r="L24" s="115"/>
      <c r="M24" s="116"/>
      <c r="N24" s="117"/>
      <c r="O24" s="118">
        <f>P24*E24/100</f>
        <v>0</v>
      </c>
      <c r="P24" s="119"/>
      <c r="Q24" s="120">
        <f t="shared" si="9"/>
        <v>25000000</v>
      </c>
      <c r="R24" s="120"/>
      <c r="S24" s="120">
        <v>25000000</v>
      </c>
      <c r="T24" s="120"/>
      <c r="U24" s="121"/>
      <c r="V24" s="122">
        <f t="shared" si="10"/>
        <v>0</v>
      </c>
      <c r="W24" s="121">
        <f>0+U24</f>
        <v>0</v>
      </c>
      <c r="X24" s="378" t="s">
        <v>635</v>
      </c>
      <c r="Y24" s="152"/>
      <c r="Z24" s="402" t="s">
        <v>512</v>
      </c>
      <c r="AA24" s="149"/>
      <c r="AB24" s="137"/>
      <c r="AC24" s="137"/>
      <c r="AD24" s="137"/>
      <c r="AE24" s="147"/>
    </row>
    <row r="25" spans="1:31" s="72" customFormat="1" ht="25.5">
      <c r="A25" s="2" t="s">
        <v>10</v>
      </c>
      <c r="B25" s="70" t="s">
        <v>44</v>
      </c>
      <c r="C25" s="73"/>
      <c r="D25" s="73"/>
      <c r="E25" s="44">
        <f t="shared" ref="E25:L25" si="11">E26+E34+E38+E40</f>
        <v>39440695</v>
      </c>
      <c r="F25" s="44">
        <f t="shared" si="11"/>
        <v>31581644</v>
      </c>
      <c r="G25" s="44">
        <f t="shared" si="11"/>
        <v>5429928</v>
      </c>
      <c r="H25" s="44">
        <f t="shared" si="11"/>
        <v>0</v>
      </c>
      <c r="I25" s="44">
        <f t="shared" si="11"/>
        <v>515852</v>
      </c>
      <c r="J25" s="44">
        <f t="shared" si="11"/>
        <v>1913271</v>
      </c>
      <c r="K25" s="44">
        <f t="shared" si="11"/>
        <v>31800952</v>
      </c>
      <c r="L25" s="44">
        <f t="shared" si="11"/>
        <v>25953399.140000001</v>
      </c>
      <c r="M25" s="44"/>
      <c r="N25" s="44"/>
      <c r="O25" s="44">
        <f>O26+O34+O38+O40</f>
        <v>34112526.700000003</v>
      </c>
      <c r="P25" s="44"/>
      <c r="Q25" s="44">
        <f>Q26+Q34+Q38+Q40</f>
        <v>15149919</v>
      </c>
      <c r="R25" s="44">
        <f>R26+R34+R38+R40</f>
        <v>10416000</v>
      </c>
      <c r="S25" s="44">
        <f>S26+S34+S38+S40</f>
        <v>4733919</v>
      </c>
      <c r="T25" s="44">
        <f>T26+T34+T38+T40</f>
        <v>0</v>
      </c>
      <c r="U25" s="44">
        <f>U26+U34+U38+U40</f>
        <v>8407777</v>
      </c>
      <c r="V25" s="45">
        <f t="shared" si="10"/>
        <v>55.49717460535598</v>
      </c>
      <c r="W25" s="44">
        <f>W26+W34+W38+W40</f>
        <v>22408908</v>
      </c>
      <c r="X25" s="2"/>
      <c r="Y25" s="153"/>
      <c r="Z25" s="150"/>
      <c r="AA25" s="150"/>
      <c r="AB25" s="150"/>
      <c r="AC25" s="150"/>
      <c r="AD25" s="150"/>
      <c r="AE25" s="150"/>
    </row>
    <row r="26" spans="1:31" s="69" customFormat="1">
      <c r="A26" s="73" t="s">
        <v>39</v>
      </c>
      <c r="B26" s="67" t="s">
        <v>192</v>
      </c>
      <c r="C26" s="68"/>
      <c r="D26" s="68"/>
      <c r="E26" s="44">
        <f>SUM(E27:E33)</f>
        <v>10182797</v>
      </c>
      <c r="F26" s="44">
        <f>SUM(F27:F33)</f>
        <v>8164669</v>
      </c>
      <c r="G26" s="44">
        <f t="shared" ref="G26:L26" si="12">SUM(G27:G33)</f>
        <v>1473527</v>
      </c>
      <c r="H26" s="44">
        <f t="shared" si="12"/>
        <v>0</v>
      </c>
      <c r="I26" s="44">
        <f t="shared" si="12"/>
        <v>0</v>
      </c>
      <c r="J26" s="44">
        <f t="shared" si="12"/>
        <v>544601</v>
      </c>
      <c r="K26" s="44">
        <f t="shared" si="12"/>
        <v>8249324</v>
      </c>
      <c r="L26" s="44">
        <f t="shared" si="12"/>
        <v>7615185</v>
      </c>
      <c r="M26" s="44"/>
      <c r="N26" s="44"/>
      <c r="O26" s="44">
        <f>SUM(O27:O33)</f>
        <v>9801600.9499999993</v>
      </c>
      <c r="P26" s="44"/>
      <c r="Q26" s="44">
        <f>SUM(Q27:Q33)</f>
        <v>4966762</v>
      </c>
      <c r="R26" s="44">
        <f>SUM(R27:R33)</f>
        <v>2448000</v>
      </c>
      <c r="S26" s="44">
        <f>SUM(S27:S33)</f>
        <v>2518762</v>
      </c>
      <c r="T26" s="44">
        <f>SUM(T27:T33)</f>
        <v>0</v>
      </c>
      <c r="U26" s="44">
        <f>SUM(U27:U33)</f>
        <v>4457720</v>
      </c>
      <c r="V26" s="45">
        <f t="shared" ref="V26:V40" si="13">U26/Q26*100</f>
        <v>89.751028939981424</v>
      </c>
      <c r="W26" s="44">
        <f>SUM(W27:W33)</f>
        <v>7933892</v>
      </c>
      <c r="X26" s="65"/>
      <c r="Y26" s="153"/>
      <c r="Z26" s="159"/>
      <c r="AA26" s="159"/>
      <c r="AB26" s="159"/>
      <c r="AC26" s="159"/>
      <c r="AD26" s="159"/>
      <c r="AE26" s="159"/>
    </row>
    <row r="27" spans="1:31" ht="58.5" customHeight="1">
      <c r="A27" s="8">
        <v>12</v>
      </c>
      <c r="B27" s="9" t="s">
        <v>11</v>
      </c>
      <c r="C27" s="10" t="s">
        <v>52</v>
      </c>
      <c r="D27" s="3" t="s">
        <v>32</v>
      </c>
      <c r="E27" s="11">
        <f t="shared" ref="E27:E33" si="14">SUM(F27:J27)</f>
        <v>1379201</v>
      </c>
      <c r="F27" s="12">
        <v>996776</v>
      </c>
      <c r="G27" s="12">
        <v>257043</v>
      </c>
      <c r="H27" s="12"/>
      <c r="I27" s="12"/>
      <c r="J27" s="12">
        <v>125382</v>
      </c>
      <c r="K27" s="12">
        <v>1081431</v>
      </c>
      <c r="L27" s="12">
        <v>962888</v>
      </c>
      <c r="M27" s="13" t="s">
        <v>61</v>
      </c>
      <c r="N27" s="14" t="s">
        <v>62</v>
      </c>
      <c r="O27" s="26">
        <f t="shared" ref="O27:O33" si="15">P27*E27/100</f>
        <v>1310240.95</v>
      </c>
      <c r="P27" s="15">
        <v>95</v>
      </c>
      <c r="Q27" s="24">
        <f t="shared" ref="Q27:Q33" si="16">SUM(R27:T27)</f>
        <v>0</v>
      </c>
      <c r="R27" s="25"/>
      <c r="S27" s="24"/>
      <c r="T27" s="24"/>
      <c r="U27" s="35"/>
      <c r="V27" s="36" t="e">
        <f t="shared" si="13"/>
        <v>#DIV/0!</v>
      </c>
      <c r="W27" s="35">
        <f>707091+U27</f>
        <v>707091</v>
      </c>
      <c r="X27" s="13" t="s">
        <v>513</v>
      </c>
      <c r="Y27" s="153"/>
      <c r="Z27" s="400"/>
      <c r="AA27" s="400"/>
      <c r="AB27" s="401"/>
      <c r="AC27" s="81"/>
    </row>
    <row r="28" spans="1:31" s="50" customFormat="1" ht="89.25">
      <c r="A28" s="51">
        <v>13</v>
      </c>
      <c r="B28" s="52" t="s">
        <v>103</v>
      </c>
      <c r="C28" s="51" t="s">
        <v>55</v>
      </c>
      <c r="D28" s="53" t="s">
        <v>114</v>
      </c>
      <c r="E28" s="11">
        <f t="shared" si="14"/>
        <v>3273710</v>
      </c>
      <c r="F28" s="12">
        <v>2735186</v>
      </c>
      <c r="G28" s="12">
        <f>77281+193624+111728</f>
        <v>382633</v>
      </c>
      <c r="H28" s="12"/>
      <c r="I28" s="12"/>
      <c r="J28" s="12">
        <v>155891</v>
      </c>
      <c r="K28" s="12">
        <f t="shared" ref="K28:K33" si="17">F28</f>
        <v>2735186</v>
      </c>
      <c r="L28" s="12">
        <v>2270118</v>
      </c>
      <c r="M28" s="13" t="s">
        <v>118</v>
      </c>
      <c r="N28" s="14" t="s">
        <v>145</v>
      </c>
      <c r="O28" s="26">
        <f t="shared" si="15"/>
        <v>3273710</v>
      </c>
      <c r="P28" s="65">
        <v>100</v>
      </c>
      <c r="Q28" s="24">
        <f t="shared" si="16"/>
        <v>883670</v>
      </c>
      <c r="R28" s="54">
        <v>648000</v>
      </c>
      <c r="S28" s="54">
        <v>235670</v>
      </c>
      <c r="T28" s="47"/>
      <c r="U28" s="54">
        <v>766737</v>
      </c>
      <c r="V28" s="36">
        <f t="shared" si="13"/>
        <v>86.767345275951442</v>
      </c>
      <c r="W28" s="35">
        <f>1769081+U28</f>
        <v>2535818</v>
      </c>
      <c r="X28" s="64" t="s">
        <v>286</v>
      </c>
      <c r="Y28" s="154"/>
      <c r="Z28" s="192" t="s">
        <v>216</v>
      </c>
      <c r="AA28" s="126" t="s">
        <v>511</v>
      </c>
      <c r="AC28" s="83"/>
      <c r="AD28" s="83"/>
      <c r="AE28" s="83"/>
    </row>
    <row r="29" spans="1:31" s="50" customFormat="1" ht="89.25">
      <c r="A29" s="51">
        <v>14</v>
      </c>
      <c r="B29" s="52" t="s">
        <v>104</v>
      </c>
      <c r="C29" s="61" t="s">
        <v>51</v>
      </c>
      <c r="D29" s="53" t="s">
        <v>158</v>
      </c>
      <c r="E29" s="11">
        <f t="shared" si="14"/>
        <v>3122360</v>
      </c>
      <c r="F29" s="12">
        <v>2489159</v>
      </c>
      <c r="G29" s="12">
        <f>81047+337235+66235</f>
        <v>484517</v>
      </c>
      <c r="H29" s="12"/>
      <c r="I29" s="12"/>
      <c r="J29" s="12">
        <v>148684</v>
      </c>
      <c r="K29" s="12">
        <f t="shared" si="17"/>
        <v>2489159</v>
      </c>
      <c r="L29" s="12">
        <v>2438631</v>
      </c>
      <c r="M29" s="13" t="s">
        <v>95</v>
      </c>
      <c r="N29" s="14" t="s">
        <v>165</v>
      </c>
      <c r="O29" s="26">
        <f t="shared" si="15"/>
        <v>2810124</v>
      </c>
      <c r="P29" s="65">
        <v>90</v>
      </c>
      <c r="Q29" s="24">
        <f t="shared" si="16"/>
        <v>1855596</v>
      </c>
      <c r="R29" s="54">
        <v>700000</v>
      </c>
      <c r="S29" s="54">
        <v>1155596</v>
      </c>
      <c r="T29" s="47"/>
      <c r="U29" s="54">
        <v>1521431</v>
      </c>
      <c r="V29" s="130">
        <f t="shared" si="13"/>
        <v>81.991500305023294</v>
      </c>
      <c r="W29" s="35">
        <f>1000000+U29</f>
        <v>2521431</v>
      </c>
      <c r="X29" s="51" t="s">
        <v>483</v>
      </c>
      <c r="Y29" s="154"/>
      <c r="Z29" s="192" t="s">
        <v>216</v>
      </c>
      <c r="AA29" s="126" t="s">
        <v>511</v>
      </c>
      <c r="AC29" s="83"/>
      <c r="AD29" s="83"/>
      <c r="AE29" s="83"/>
    </row>
    <row r="30" spans="1:31" s="7" customFormat="1" ht="93" customHeight="1">
      <c r="A30" s="51">
        <v>15</v>
      </c>
      <c r="B30" s="38" t="s">
        <v>123</v>
      </c>
      <c r="C30" s="15" t="s">
        <v>56</v>
      </c>
      <c r="D30" s="53" t="s">
        <v>167</v>
      </c>
      <c r="E30" s="11">
        <f t="shared" si="14"/>
        <v>476199</v>
      </c>
      <c r="F30" s="37">
        <v>395295</v>
      </c>
      <c r="G30" s="37">
        <f>11169+35270+11789</f>
        <v>58228</v>
      </c>
      <c r="H30" s="37"/>
      <c r="I30" s="37"/>
      <c r="J30" s="37">
        <v>22676</v>
      </c>
      <c r="K30" s="37">
        <f t="shared" si="17"/>
        <v>395295</v>
      </c>
      <c r="L30" s="12">
        <f>K30</f>
        <v>395295</v>
      </c>
      <c r="M30" s="14" t="s">
        <v>95</v>
      </c>
      <c r="N30" s="14" t="s">
        <v>263</v>
      </c>
      <c r="O30" s="26">
        <f t="shared" si="15"/>
        <v>476199</v>
      </c>
      <c r="P30" s="39">
        <v>100</v>
      </c>
      <c r="Q30" s="25">
        <f t="shared" si="16"/>
        <v>442861</v>
      </c>
      <c r="R30" s="25">
        <v>200000</v>
      </c>
      <c r="S30" s="25">
        <v>242861</v>
      </c>
      <c r="T30" s="25"/>
      <c r="U30" s="40">
        <v>440307</v>
      </c>
      <c r="V30" s="130">
        <f t="shared" si="13"/>
        <v>99.423295345492164</v>
      </c>
      <c r="W30" s="35">
        <f>U30</f>
        <v>440307</v>
      </c>
      <c r="X30" s="51" t="s">
        <v>286</v>
      </c>
      <c r="Y30" s="155"/>
      <c r="Z30" s="192" t="s">
        <v>216</v>
      </c>
      <c r="AA30" s="126" t="s">
        <v>511</v>
      </c>
      <c r="AC30" s="79"/>
      <c r="AD30" s="79"/>
      <c r="AE30" s="79"/>
    </row>
    <row r="31" spans="1:31" s="7" customFormat="1" ht="93" customHeight="1">
      <c r="A31" s="51">
        <v>16</v>
      </c>
      <c r="B31" s="38" t="s">
        <v>124</v>
      </c>
      <c r="C31" s="15" t="s">
        <v>56</v>
      </c>
      <c r="D31" s="53" t="s">
        <v>166</v>
      </c>
      <c r="E31" s="11">
        <f t="shared" si="14"/>
        <v>920370</v>
      </c>
      <c r="F31" s="37">
        <v>745798</v>
      </c>
      <c r="G31" s="37">
        <f>21072+88888+20785</f>
        <v>130745</v>
      </c>
      <c r="H31" s="37"/>
      <c r="I31" s="37"/>
      <c r="J31" s="37">
        <v>43827</v>
      </c>
      <c r="K31" s="37">
        <f t="shared" si="17"/>
        <v>745798</v>
      </c>
      <c r="L31" s="12">
        <f>K31</f>
        <v>745798</v>
      </c>
      <c r="M31" s="14" t="s">
        <v>82</v>
      </c>
      <c r="N31" s="14" t="s">
        <v>217</v>
      </c>
      <c r="O31" s="26">
        <f t="shared" si="15"/>
        <v>920370</v>
      </c>
      <c r="P31" s="39">
        <v>100</v>
      </c>
      <c r="Q31" s="25">
        <f t="shared" si="16"/>
        <v>863615</v>
      </c>
      <c r="R31" s="25">
        <v>500000</v>
      </c>
      <c r="S31" s="25">
        <v>363615</v>
      </c>
      <c r="T31" s="25"/>
      <c r="U31" s="40">
        <v>817631</v>
      </c>
      <c r="V31" s="130">
        <f t="shared" si="13"/>
        <v>94.675405128442648</v>
      </c>
      <c r="W31" s="35">
        <f>U31</f>
        <v>817631</v>
      </c>
      <c r="X31" s="51" t="s">
        <v>286</v>
      </c>
      <c r="Y31" s="155"/>
      <c r="Z31" s="192" t="s">
        <v>216</v>
      </c>
      <c r="AA31" s="126" t="s">
        <v>511</v>
      </c>
      <c r="AC31" s="79"/>
      <c r="AD31" s="79"/>
      <c r="AE31" s="79"/>
    </row>
    <row r="32" spans="1:31" s="7" customFormat="1" ht="93" customHeight="1">
      <c r="A32" s="51">
        <v>17</v>
      </c>
      <c r="B32" s="38" t="s">
        <v>153</v>
      </c>
      <c r="C32" s="15" t="s">
        <v>107</v>
      </c>
      <c r="D32" s="53" t="s">
        <v>169</v>
      </c>
      <c r="E32" s="11">
        <f t="shared" si="14"/>
        <v>365689</v>
      </c>
      <c r="F32" s="37">
        <v>285442</v>
      </c>
      <c r="G32" s="37">
        <f>8065+45385+9383</f>
        <v>62833</v>
      </c>
      <c r="H32" s="37"/>
      <c r="I32" s="37"/>
      <c r="J32" s="37">
        <v>17414</v>
      </c>
      <c r="K32" s="37">
        <f t="shared" si="17"/>
        <v>285442</v>
      </c>
      <c r="L32" s="12">
        <f>K32</f>
        <v>285442</v>
      </c>
      <c r="M32" s="14" t="s">
        <v>265</v>
      </c>
      <c r="N32" s="14" t="s">
        <v>264</v>
      </c>
      <c r="O32" s="26">
        <f t="shared" si="15"/>
        <v>365689</v>
      </c>
      <c r="P32" s="39">
        <v>100</v>
      </c>
      <c r="Q32" s="25">
        <f t="shared" si="16"/>
        <v>341970</v>
      </c>
      <c r="R32" s="25">
        <v>300000</v>
      </c>
      <c r="S32" s="25">
        <v>41970</v>
      </c>
      <c r="T32" s="25"/>
      <c r="U32" s="40">
        <v>337861</v>
      </c>
      <c r="V32" s="130">
        <f t="shared" si="13"/>
        <v>98.798432611047744</v>
      </c>
      <c r="W32" s="35">
        <f>U32</f>
        <v>337861</v>
      </c>
      <c r="X32" s="51" t="s">
        <v>286</v>
      </c>
      <c r="Y32" s="155"/>
      <c r="Z32" s="192" t="s">
        <v>216</v>
      </c>
      <c r="AA32" s="126" t="s">
        <v>511</v>
      </c>
      <c r="AC32" s="79"/>
      <c r="AD32" s="79"/>
      <c r="AE32" s="79"/>
    </row>
    <row r="33" spans="1:31" s="7" customFormat="1" ht="93" customHeight="1">
      <c r="A33" s="51">
        <v>18</v>
      </c>
      <c r="B33" s="38" t="s">
        <v>154</v>
      </c>
      <c r="C33" s="15" t="s">
        <v>55</v>
      </c>
      <c r="D33" s="53" t="s">
        <v>170</v>
      </c>
      <c r="E33" s="11">
        <f t="shared" si="14"/>
        <v>645268</v>
      </c>
      <c r="F33" s="37">
        <v>517013</v>
      </c>
      <c r="G33" s="37">
        <f>14608+67793+15127</f>
        <v>97528</v>
      </c>
      <c r="H33" s="37"/>
      <c r="I33" s="37"/>
      <c r="J33" s="37">
        <v>30727</v>
      </c>
      <c r="K33" s="37">
        <f t="shared" si="17"/>
        <v>517013</v>
      </c>
      <c r="L33" s="12">
        <f>K33</f>
        <v>517013</v>
      </c>
      <c r="M33" s="14" t="s">
        <v>267</v>
      </c>
      <c r="N33" s="14" t="s">
        <v>266</v>
      </c>
      <c r="O33" s="26">
        <f t="shared" si="15"/>
        <v>645268</v>
      </c>
      <c r="P33" s="39">
        <v>100</v>
      </c>
      <c r="Q33" s="25">
        <f t="shared" si="16"/>
        <v>579050</v>
      </c>
      <c r="R33" s="25">
        <v>100000</v>
      </c>
      <c r="S33" s="25">
        <v>479050</v>
      </c>
      <c r="T33" s="25"/>
      <c r="U33" s="40">
        <v>573753</v>
      </c>
      <c r="V33" s="130">
        <f t="shared" si="13"/>
        <v>99.08522580088075</v>
      </c>
      <c r="W33" s="35">
        <f>U33</f>
        <v>573753</v>
      </c>
      <c r="X33" s="51" t="s">
        <v>286</v>
      </c>
      <c r="Y33" s="155"/>
      <c r="Z33" s="192" t="s">
        <v>216</v>
      </c>
      <c r="AA33" s="126" t="s">
        <v>511</v>
      </c>
      <c r="AB33" s="93"/>
      <c r="AC33" s="79"/>
      <c r="AD33" s="79"/>
      <c r="AE33" s="79"/>
    </row>
    <row r="34" spans="1:31" s="99" customFormat="1" ht="25.5">
      <c r="A34" s="84" t="s">
        <v>40</v>
      </c>
      <c r="B34" s="85" t="s">
        <v>207</v>
      </c>
      <c r="C34" s="51"/>
      <c r="D34" s="48">
        <f>SUM(D35:D36)</f>
        <v>0</v>
      </c>
      <c r="E34" s="48">
        <f>SUM(E35:E37)</f>
        <v>21787535</v>
      </c>
      <c r="F34" s="48">
        <f>SUM(F35:F37)</f>
        <v>17536724</v>
      </c>
      <c r="G34" s="48">
        <f t="shared" ref="G34:L34" si="18">SUM(G35:G37)</f>
        <v>2722021</v>
      </c>
      <c r="H34" s="48">
        <f t="shared" si="18"/>
        <v>0</v>
      </c>
      <c r="I34" s="48">
        <f t="shared" si="18"/>
        <v>515852</v>
      </c>
      <c r="J34" s="48">
        <f t="shared" si="18"/>
        <v>1012938</v>
      </c>
      <c r="K34" s="48">
        <f t="shared" si="18"/>
        <v>17536724</v>
      </c>
      <c r="L34" s="48">
        <f t="shared" si="18"/>
        <v>13225872</v>
      </c>
      <c r="M34" s="48"/>
      <c r="N34" s="48"/>
      <c r="O34" s="48">
        <f>SUM(O35:O37)</f>
        <v>16840562.75</v>
      </c>
      <c r="P34" s="48"/>
      <c r="Q34" s="48">
        <f>SUM(Q35:Q37)</f>
        <v>9133663</v>
      </c>
      <c r="R34" s="48">
        <f>SUM(R35:R37)</f>
        <v>7968000</v>
      </c>
      <c r="S34" s="48">
        <f>SUM(S35:S37)</f>
        <v>1165663</v>
      </c>
      <c r="T34" s="48">
        <f>SUM(T35:T37)</f>
        <v>0</v>
      </c>
      <c r="U34" s="48">
        <f>SUM(U35:U37)</f>
        <v>2908550</v>
      </c>
      <c r="V34" s="97">
        <f t="shared" si="13"/>
        <v>31.844288540096127</v>
      </c>
      <c r="W34" s="48">
        <f>SUM(W35:W37)</f>
        <v>9746478</v>
      </c>
      <c r="X34" s="98"/>
      <c r="Y34" s="154"/>
      <c r="Z34" s="23"/>
      <c r="AA34" s="151"/>
      <c r="AB34" s="151"/>
      <c r="AC34" s="151"/>
      <c r="AD34" s="151"/>
      <c r="AE34" s="151"/>
    </row>
    <row r="35" spans="1:31" s="50" customFormat="1" ht="89.25">
      <c r="A35" s="51">
        <v>19</v>
      </c>
      <c r="B35" s="52" t="s">
        <v>105</v>
      </c>
      <c r="C35" s="61" t="s">
        <v>56</v>
      </c>
      <c r="D35" s="53" t="s">
        <v>112</v>
      </c>
      <c r="E35" s="11">
        <f>SUM(F35:J35)</f>
        <v>10580320</v>
      </c>
      <c r="F35" s="12">
        <v>8636014</v>
      </c>
      <c r="G35" s="12">
        <f>230503+722148+344973</f>
        <v>1297624</v>
      </c>
      <c r="H35" s="12"/>
      <c r="I35" s="12">
        <v>150000</v>
      </c>
      <c r="J35" s="12">
        <v>496682</v>
      </c>
      <c r="K35" s="12">
        <f>F35</f>
        <v>8636014</v>
      </c>
      <c r="L35" s="12">
        <v>6096911</v>
      </c>
      <c r="M35" s="13" t="s">
        <v>117</v>
      </c>
      <c r="N35" s="14" t="s">
        <v>146</v>
      </c>
      <c r="O35" s="26">
        <f>P35*E35/100</f>
        <v>10051304</v>
      </c>
      <c r="P35" s="65">
        <v>95</v>
      </c>
      <c r="Q35" s="24">
        <f>SUM(R35:T35)</f>
        <v>2968000</v>
      </c>
      <c r="R35" s="54">
        <v>2968000</v>
      </c>
      <c r="S35" s="47"/>
      <c r="T35" s="47"/>
      <c r="U35" s="54">
        <v>1549440</v>
      </c>
      <c r="V35" s="36">
        <f t="shared" si="13"/>
        <v>52.204851752021561</v>
      </c>
      <c r="W35" s="35">
        <f>4531570+U35</f>
        <v>6081010</v>
      </c>
      <c r="X35" s="64" t="s">
        <v>559</v>
      </c>
      <c r="Y35" s="154"/>
      <c r="Z35" s="192" t="s">
        <v>216</v>
      </c>
      <c r="AA35" s="83"/>
      <c r="AB35" s="93"/>
      <c r="AC35" s="83"/>
      <c r="AD35" s="83"/>
      <c r="AE35" s="83"/>
    </row>
    <row r="36" spans="1:31" s="50" customFormat="1" ht="89.25">
      <c r="A36" s="51">
        <v>20</v>
      </c>
      <c r="B36" s="52" t="s">
        <v>106</v>
      </c>
      <c r="C36" s="62" t="s">
        <v>107</v>
      </c>
      <c r="D36" s="53" t="s">
        <v>113</v>
      </c>
      <c r="E36" s="11">
        <f>SUM(F36:J36)</f>
        <v>7715191</v>
      </c>
      <c r="F36" s="12">
        <v>6038000</v>
      </c>
      <c r="G36" s="12">
        <f>161160+557664+242546</f>
        <v>961370</v>
      </c>
      <c r="H36" s="12"/>
      <c r="I36" s="12">
        <v>365852</v>
      </c>
      <c r="J36" s="12">
        <v>349969</v>
      </c>
      <c r="K36" s="12">
        <f>F36</f>
        <v>6038000</v>
      </c>
      <c r="L36" s="12">
        <v>4748963</v>
      </c>
      <c r="M36" s="13" t="s">
        <v>117</v>
      </c>
      <c r="N36" s="14" t="s">
        <v>147</v>
      </c>
      <c r="O36" s="26">
        <f>P36*E36/100</f>
        <v>3471835.95</v>
      </c>
      <c r="P36" s="65">
        <v>45</v>
      </c>
      <c r="Q36" s="24">
        <f>SUM(R36:T36)</f>
        <v>4600352</v>
      </c>
      <c r="R36" s="54">
        <v>4000000</v>
      </c>
      <c r="S36" s="54">
        <v>600352</v>
      </c>
      <c r="T36" s="47"/>
      <c r="U36" s="54">
        <v>137716</v>
      </c>
      <c r="V36" s="36">
        <f t="shared" si="13"/>
        <v>2.9935970117069299</v>
      </c>
      <c r="W36" s="35">
        <f>1069413+U36</f>
        <v>1207129</v>
      </c>
      <c r="X36" s="64" t="s">
        <v>560</v>
      </c>
      <c r="Y36" s="154"/>
      <c r="Z36" s="192" t="s">
        <v>216</v>
      </c>
      <c r="AA36" s="126" t="s">
        <v>511</v>
      </c>
      <c r="AB36" s="83"/>
      <c r="AC36" s="83"/>
      <c r="AD36" s="83"/>
      <c r="AE36" s="83"/>
    </row>
    <row r="37" spans="1:31" s="50" customFormat="1" ht="89.25">
      <c r="A37" s="51">
        <v>21</v>
      </c>
      <c r="B37" s="52" t="s">
        <v>125</v>
      </c>
      <c r="C37" s="51" t="s">
        <v>53</v>
      </c>
      <c r="D37" s="53" t="s">
        <v>162</v>
      </c>
      <c r="E37" s="11">
        <f>SUM(F37:J37)</f>
        <v>3492024</v>
      </c>
      <c r="F37" s="12">
        <v>2862710</v>
      </c>
      <c r="G37" s="12">
        <f>84049+305339+73639</f>
        <v>463027</v>
      </c>
      <c r="H37" s="12"/>
      <c r="I37" s="12"/>
      <c r="J37" s="12">
        <v>166287</v>
      </c>
      <c r="K37" s="12">
        <f>F37</f>
        <v>2862710</v>
      </c>
      <c r="L37" s="12">
        <v>2379998</v>
      </c>
      <c r="M37" s="13" t="s">
        <v>115</v>
      </c>
      <c r="N37" s="14" t="s">
        <v>171</v>
      </c>
      <c r="O37" s="26">
        <f>P37*E37/100</f>
        <v>3317422.8</v>
      </c>
      <c r="P37" s="65">
        <v>95</v>
      </c>
      <c r="Q37" s="24">
        <f>SUM(R37:T37)</f>
        <v>1565311</v>
      </c>
      <c r="R37" s="54">
        <v>1000000</v>
      </c>
      <c r="S37" s="54">
        <v>565311</v>
      </c>
      <c r="T37" s="54"/>
      <c r="U37" s="54">
        <v>1221394</v>
      </c>
      <c r="V37" s="36">
        <f t="shared" si="13"/>
        <v>78.028838997489956</v>
      </c>
      <c r="W37" s="35">
        <f>1236945+U37</f>
        <v>2458339</v>
      </c>
      <c r="X37" s="64" t="s">
        <v>514</v>
      </c>
      <c r="Y37" s="154"/>
      <c r="Z37" s="192" t="s">
        <v>216</v>
      </c>
      <c r="AA37" s="126" t="s">
        <v>511</v>
      </c>
      <c r="AB37" s="83"/>
      <c r="AC37" s="83"/>
      <c r="AD37" s="83"/>
      <c r="AE37" s="83"/>
    </row>
    <row r="38" spans="1:31" s="7" customFormat="1" ht="25.5">
      <c r="A38" s="73" t="s">
        <v>41</v>
      </c>
      <c r="B38" s="67" t="s">
        <v>251</v>
      </c>
      <c r="C38" s="75"/>
      <c r="D38" s="75"/>
      <c r="E38" s="44">
        <f>E39</f>
        <v>4453239</v>
      </c>
      <c r="F38" s="44">
        <f t="shared" ref="F38:L38" si="19">F39</f>
        <v>3539068</v>
      </c>
      <c r="G38" s="44">
        <f t="shared" si="19"/>
        <v>702112</v>
      </c>
      <c r="H38" s="44">
        <f t="shared" si="19"/>
        <v>0</v>
      </c>
      <c r="I38" s="44">
        <f t="shared" si="19"/>
        <v>0</v>
      </c>
      <c r="J38" s="44">
        <f t="shared" si="19"/>
        <v>212059</v>
      </c>
      <c r="K38" s="44">
        <f t="shared" si="19"/>
        <v>3673721</v>
      </c>
      <c r="L38" s="44">
        <f t="shared" si="19"/>
        <v>2883579</v>
      </c>
      <c r="M38" s="44"/>
      <c r="N38" s="44"/>
      <c r="O38" s="44">
        <f>O39</f>
        <v>4453239</v>
      </c>
      <c r="P38" s="44"/>
      <c r="Q38" s="44">
        <f>Q39</f>
        <v>0</v>
      </c>
      <c r="R38" s="44">
        <f>R39</f>
        <v>0</v>
      </c>
      <c r="S38" s="44">
        <f>S39</f>
        <v>0</v>
      </c>
      <c r="T38" s="44">
        <f>T39</f>
        <v>0</v>
      </c>
      <c r="U38" s="44">
        <f>U39</f>
        <v>0</v>
      </c>
      <c r="V38" s="97" t="e">
        <f t="shared" si="13"/>
        <v>#DIV/0!</v>
      </c>
      <c r="W38" s="44">
        <f>W39</f>
        <v>2058883</v>
      </c>
      <c r="X38" s="76"/>
      <c r="Y38" s="153"/>
      <c r="Z38" s="79"/>
      <c r="AA38" s="79"/>
      <c r="AB38" s="79"/>
      <c r="AC38" s="79"/>
      <c r="AD38" s="79"/>
      <c r="AE38" s="79"/>
    </row>
    <row r="39" spans="1:31" ht="80.25" customHeight="1">
      <c r="A39" s="8">
        <v>22</v>
      </c>
      <c r="B39" s="9" t="s">
        <v>76</v>
      </c>
      <c r="C39" s="10" t="s">
        <v>53</v>
      </c>
      <c r="D39" s="3" t="s">
        <v>77</v>
      </c>
      <c r="E39" s="11">
        <f>SUM(F39:J39)</f>
        <v>4453239</v>
      </c>
      <c r="F39" s="12">
        <v>3539068</v>
      </c>
      <c r="G39" s="12">
        <v>702112</v>
      </c>
      <c r="H39" s="12"/>
      <c r="I39" s="12"/>
      <c r="J39" s="12">
        <v>212059</v>
      </c>
      <c r="K39" s="12">
        <v>3673721</v>
      </c>
      <c r="L39" s="12">
        <v>2883579</v>
      </c>
      <c r="M39" s="13" t="s">
        <v>82</v>
      </c>
      <c r="N39" s="14" t="s">
        <v>566</v>
      </c>
      <c r="O39" s="26">
        <f>P39*E39/100</f>
        <v>4453239</v>
      </c>
      <c r="P39" s="15">
        <v>100</v>
      </c>
      <c r="Q39" s="24">
        <f>SUM(R39:T39)</f>
        <v>0</v>
      </c>
      <c r="R39" s="25"/>
      <c r="S39" s="24"/>
      <c r="T39" s="24"/>
      <c r="U39" s="35"/>
      <c r="V39" s="35" t="e">
        <f t="shared" si="13"/>
        <v>#DIV/0!</v>
      </c>
      <c r="W39" s="35">
        <f>2058883+U39</f>
        <v>2058883</v>
      </c>
      <c r="X39" s="13" t="s">
        <v>286</v>
      </c>
      <c r="Y39" s="153"/>
      <c r="Z39" s="759"/>
      <c r="AA39" s="759"/>
      <c r="AB39" s="81"/>
      <c r="AC39" s="93"/>
    </row>
    <row r="40" spans="1:31" s="99" customFormat="1" ht="45" customHeight="1">
      <c r="A40" s="84" t="s">
        <v>45</v>
      </c>
      <c r="B40" s="85" t="s">
        <v>531</v>
      </c>
      <c r="C40" s="51"/>
      <c r="D40" s="48"/>
      <c r="E40" s="48">
        <f t="shared" ref="E40:L40" si="20">SUM(E41:E43)</f>
        <v>3017124</v>
      </c>
      <c r="F40" s="48">
        <f t="shared" si="20"/>
        <v>2341183</v>
      </c>
      <c r="G40" s="48">
        <f t="shared" si="20"/>
        <v>532268</v>
      </c>
      <c r="H40" s="48">
        <f t="shared" si="20"/>
        <v>0</v>
      </c>
      <c r="I40" s="48">
        <f t="shared" si="20"/>
        <v>0</v>
      </c>
      <c r="J40" s="48">
        <f t="shared" si="20"/>
        <v>143673</v>
      </c>
      <c r="K40" s="48">
        <f t="shared" si="20"/>
        <v>2341183</v>
      </c>
      <c r="L40" s="48">
        <f t="shared" si="20"/>
        <v>2228763.14</v>
      </c>
      <c r="M40" s="48"/>
      <c r="N40" s="48"/>
      <c r="O40" s="48">
        <f>SUM(O41:O43)</f>
        <v>3017124</v>
      </c>
      <c r="P40" s="48"/>
      <c r="Q40" s="48">
        <f>SUM(Q41:Q43)</f>
        <v>1049494</v>
      </c>
      <c r="R40" s="48">
        <f>SUM(R41:R43)</f>
        <v>0</v>
      </c>
      <c r="S40" s="48">
        <f>SUM(S41:S43)</f>
        <v>1049494</v>
      </c>
      <c r="T40" s="48">
        <f>SUM(T41:T43)</f>
        <v>0</v>
      </c>
      <c r="U40" s="48">
        <f>SUM(U41:U43)</f>
        <v>1041507</v>
      </c>
      <c r="V40" s="97">
        <f t="shared" si="13"/>
        <v>99.238966587707978</v>
      </c>
      <c r="W40" s="48">
        <f>SUM(W41:W43)</f>
        <v>2669655</v>
      </c>
      <c r="X40" s="98"/>
      <c r="Y40" s="154"/>
      <c r="Z40" s="23"/>
      <c r="AA40" s="151"/>
      <c r="AB40" s="151"/>
      <c r="AC40" s="151"/>
      <c r="AD40" s="151"/>
      <c r="AE40" s="151"/>
    </row>
    <row r="41" spans="1:31" s="50" customFormat="1" ht="89.25">
      <c r="A41" s="51">
        <v>23</v>
      </c>
      <c r="B41" s="52" t="s">
        <v>121</v>
      </c>
      <c r="C41" s="51" t="s">
        <v>51</v>
      </c>
      <c r="D41" s="3" t="s">
        <v>151</v>
      </c>
      <c r="E41" s="11">
        <f>SUM(F41:J41)</f>
        <v>1200568</v>
      </c>
      <c r="F41" s="12">
        <v>947931</v>
      </c>
      <c r="G41" s="12">
        <f>27831+142036+25600</f>
        <v>195467</v>
      </c>
      <c r="H41" s="12"/>
      <c r="I41" s="12"/>
      <c r="J41" s="12">
        <v>57170</v>
      </c>
      <c r="K41" s="12">
        <f>F41</f>
        <v>947931</v>
      </c>
      <c r="L41" s="12">
        <f>K41*94/100</f>
        <v>891055.14</v>
      </c>
      <c r="M41" s="66" t="s">
        <v>159</v>
      </c>
      <c r="N41" s="14" t="s">
        <v>160</v>
      </c>
      <c r="O41" s="26">
        <f>P41*E41/100</f>
        <v>1200568</v>
      </c>
      <c r="P41" s="65">
        <v>100</v>
      </c>
      <c r="Q41" s="24">
        <f>SUM(R41:T41)</f>
        <v>515483</v>
      </c>
      <c r="R41" s="54"/>
      <c r="S41" s="35">
        <v>515483</v>
      </c>
      <c r="T41" s="54"/>
      <c r="U41" s="54">
        <v>515482</v>
      </c>
      <c r="V41" s="35">
        <f t="shared" ref="V41:V69" si="21">U41/Q41*100</f>
        <v>99.999806007181618</v>
      </c>
      <c r="W41" s="35">
        <f>528873+U41</f>
        <v>1044355</v>
      </c>
      <c r="X41" s="51" t="s">
        <v>286</v>
      </c>
      <c r="Y41" s="154"/>
      <c r="Z41" s="126" t="s">
        <v>511</v>
      </c>
      <c r="AA41" s="83"/>
      <c r="AB41" s="83"/>
      <c r="AC41" s="83"/>
      <c r="AD41" s="83"/>
      <c r="AE41" s="83"/>
    </row>
    <row r="42" spans="1:31" s="50" customFormat="1" ht="89.25">
      <c r="A42" s="51">
        <v>24</v>
      </c>
      <c r="B42" s="52" t="s">
        <v>122</v>
      </c>
      <c r="C42" s="51" t="s">
        <v>51</v>
      </c>
      <c r="D42" s="3" t="s">
        <v>152</v>
      </c>
      <c r="E42" s="11">
        <f>SUM(F42:J42)</f>
        <v>1202672</v>
      </c>
      <c r="F42" s="12">
        <v>925741</v>
      </c>
      <c r="G42" s="12">
        <f>27180+167045+25436</f>
        <v>219661</v>
      </c>
      <c r="H42" s="12"/>
      <c r="I42" s="12"/>
      <c r="J42" s="12">
        <v>57270</v>
      </c>
      <c r="K42" s="12">
        <f>F42</f>
        <v>925741</v>
      </c>
      <c r="L42" s="12">
        <v>870197</v>
      </c>
      <c r="M42" s="13" t="s">
        <v>115</v>
      </c>
      <c r="N42" s="14" t="s">
        <v>161</v>
      </c>
      <c r="O42" s="26">
        <f>P42*E42/100</f>
        <v>1202672</v>
      </c>
      <c r="P42" s="65">
        <v>100</v>
      </c>
      <c r="Q42" s="24">
        <f>SUM(R42:T42)</f>
        <v>280627</v>
      </c>
      <c r="R42" s="54"/>
      <c r="S42" s="35">
        <v>280627</v>
      </c>
      <c r="T42" s="54"/>
      <c r="U42" s="54">
        <v>275935</v>
      </c>
      <c r="V42" s="36">
        <f t="shared" si="21"/>
        <v>98.328029733418376</v>
      </c>
      <c r="W42" s="35">
        <f>780710+U42</f>
        <v>1056645</v>
      </c>
      <c r="X42" s="51" t="s">
        <v>286</v>
      </c>
      <c r="Y42" s="154"/>
      <c r="Z42" s="126" t="s">
        <v>511</v>
      </c>
      <c r="AA42" s="83"/>
      <c r="AB42" s="83"/>
      <c r="AC42" s="83"/>
      <c r="AD42" s="83"/>
      <c r="AE42" s="83"/>
    </row>
    <row r="43" spans="1:31" s="50" customFormat="1" ht="89.25">
      <c r="A43" s="51">
        <v>25</v>
      </c>
      <c r="B43" s="52" t="s">
        <v>127</v>
      </c>
      <c r="C43" s="51" t="s">
        <v>56</v>
      </c>
      <c r="D43" s="53" t="s">
        <v>168</v>
      </c>
      <c r="E43" s="11">
        <f>SUM(F43:J43)</f>
        <v>613884</v>
      </c>
      <c r="F43" s="12">
        <v>467511</v>
      </c>
      <c r="G43" s="12">
        <f>13209+89623+14308</f>
        <v>117140</v>
      </c>
      <c r="H43" s="12"/>
      <c r="I43" s="12"/>
      <c r="J43" s="12">
        <v>29233</v>
      </c>
      <c r="K43" s="12">
        <f>F43</f>
        <v>467511</v>
      </c>
      <c r="L43" s="12">
        <f>K43</f>
        <v>467511</v>
      </c>
      <c r="M43" s="13" t="s">
        <v>84</v>
      </c>
      <c r="N43" s="14" t="s">
        <v>172</v>
      </c>
      <c r="O43" s="26">
        <f>P43*E43/100</f>
        <v>613884</v>
      </c>
      <c r="P43" s="65">
        <v>100</v>
      </c>
      <c r="Q43" s="24">
        <f>SUM(R43:T43)</f>
        <v>253384</v>
      </c>
      <c r="R43" s="54"/>
      <c r="S43" s="35">
        <v>253384</v>
      </c>
      <c r="T43" s="54"/>
      <c r="U43" s="54">
        <v>250090</v>
      </c>
      <c r="V43" s="36">
        <f t="shared" si="21"/>
        <v>98.699996842736709</v>
      </c>
      <c r="W43" s="35">
        <f>318565+U43</f>
        <v>568655</v>
      </c>
      <c r="X43" s="51" t="s">
        <v>286</v>
      </c>
      <c r="Y43" s="154"/>
      <c r="Z43" s="126" t="s">
        <v>511</v>
      </c>
      <c r="AA43" s="83"/>
      <c r="AB43" s="83"/>
      <c r="AC43" s="83"/>
      <c r="AD43" s="83"/>
      <c r="AE43" s="83"/>
    </row>
    <row r="44" spans="1:31" s="29" customFormat="1">
      <c r="A44" s="2" t="s">
        <v>23</v>
      </c>
      <c r="B44" s="43" t="s">
        <v>221</v>
      </c>
      <c r="C44" s="1"/>
      <c r="D44" s="1"/>
      <c r="E44" s="1">
        <f t="shared" ref="E44:L44" si="22">E45+E80</f>
        <v>115566627</v>
      </c>
      <c r="F44" s="1">
        <f t="shared" si="22"/>
        <v>93198240</v>
      </c>
      <c r="G44" s="1">
        <f t="shared" si="22"/>
        <v>13722788</v>
      </c>
      <c r="H44" s="1">
        <f t="shared" si="22"/>
        <v>2541454</v>
      </c>
      <c r="I44" s="1">
        <f t="shared" si="22"/>
        <v>807248</v>
      </c>
      <c r="J44" s="1">
        <f t="shared" si="22"/>
        <v>5296897</v>
      </c>
      <c r="K44" s="1">
        <f t="shared" si="22"/>
        <v>91781560</v>
      </c>
      <c r="L44" s="1">
        <f t="shared" si="22"/>
        <v>22679570.600000001</v>
      </c>
      <c r="M44" s="44"/>
      <c r="N44" s="44"/>
      <c r="O44" s="1">
        <f>O45+O80</f>
        <v>14826362.779999999</v>
      </c>
      <c r="P44" s="44"/>
      <c r="Q44" s="1">
        <f>Q45+Q80</f>
        <v>218159662</v>
      </c>
      <c r="R44" s="1">
        <f>R45+R80</f>
        <v>218159662</v>
      </c>
      <c r="S44" s="1">
        <f>S45+S80</f>
        <v>0</v>
      </c>
      <c r="T44" s="1">
        <f>T45+T80</f>
        <v>0</v>
      </c>
      <c r="U44" s="1">
        <f>U45+U80</f>
        <v>12667829</v>
      </c>
      <c r="V44" s="97">
        <f t="shared" si="21"/>
        <v>5.8066779549740959</v>
      </c>
      <c r="W44" s="1">
        <f>W45+W80</f>
        <v>12411515</v>
      </c>
      <c r="X44" s="34"/>
      <c r="Y44" s="153"/>
      <c r="Z44" s="80"/>
      <c r="AA44" s="80"/>
      <c r="AB44" s="80"/>
      <c r="AC44" s="80"/>
      <c r="AD44" s="80"/>
      <c r="AE44" s="80"/>
    </row>
    <row r="45" spans="1:31" s="72" customFormat="1" ht="25.5">
      <c r="A45" s="2" t="s">
        <v>9</v>
      </c>
      <c r="B45" s="67" t="s">
        <v>42</v>
      </c>
      <c r="C45" s="44"/>
      <c r="D45" s="44"/>
      <c r="E45" s="44">
        <f>E46+E69+E72+E77</f>
        <v>51296451</v>
      </c>
      <c r="F45" s="44">
        <f t="shared" ref="F45:L45" si="23">F46+F69+F72+F77</f>
        <v>41704405</v>
      </c>
      <c r="G45" s="44">
        <f t="shared" si="23"/>
        <v>5548425</v>
      </c>
      <c r="H45" s="44">
        <f t="shared" si="23"/>
        <v>1278209</v>
      </c>
      <c r="I45" s="44">
        <f t="shared" si="23"/>
        <v>459186</v>
      </c>
      <c r="J45" s="44">
        <f t="shared" si="23"/>
        <v>2306226</v>
      </c>
      <c r="K45" s="44">
        <f t="shared" si="23"/>
        <v>40287725</v>
      </c>
      <c r="L45" s="44">
        <f t="shared" si="23"/>
        <v>8763689</v>
      </c>
      <c r="M45" s="44"/>
      <c r="N45" s="44"/>
      <c r="O45" s="44">
        <f>O46+O69+O72+O77</f>
        <v>6176908.3300000001</v>
      </c>
      <c r="P45" s="44"/>
      <c r="Q45" s="44">
        <f>Q46+Q69+Q72+Q77</f>
        <v>159667481</v>
      </c>
      <c r="R45" s="44">
        <f>R46+R69+R72+R77</f>
        <v>159667481</v>
      </c>
      <c r="S45" s="44">
        <f>S46+S69+S72+S77</f>
        <v>0</v>
      </c>
      <c r="T45" s="44">
        <f>T46+T69+T72+T77</f>
        <v>0</v>
      </c>
      <c r="U45" s="44">
        <f>U46+U69+U72+U77</f>
        <v>4873727</v>
      </c>
      <c r="V45" s="97">
        <f t="shared" si="21"/>
        <v>3.0524230541346111</v>
      </c>
      <c r="W45" s="44">
        <f>W46+W69+W72+W77</f>
        <v>4617413</v>
      </c>
      <c r="X45" s="2"/>
      <c r="Y45" s="153"/>
      <c r="Z45" s="150"/>
      <c r="AA45" s="150"/>
      <c r="AB45" s="150"/>
      <c r="AC45" s="150"/>
      <c r="AD45" s="150"/>
      <c r="AE45" s="150"/>
    </row>
    <row r="46" spans="1:31" s="7" customFormat="1">
      <c r="A46" s="2" t="s">
        <v>37</v>
      </c>
      <c r="B46" s="70" t="s">
        <v>250</v>
      </c>
      <c r="C46" s="73"/>
      <c r="D46" s="73"/>
      <c r="E46" s="1">
        <f>SUM(E47:E68)</f>
        <v>33931726</v>
      </c>
      <c r="F46" s="1">
        <f t="shared" ref="F46:L46" si="24">SUM(F47:F68)</f>
        <v>27732447</v>
      </c>
      <c r="G46" s="1">
        <f t="shared" si="24"/>
        <v>3595776</v>
      </c>
      <c r="H46" s="1">
        <f t="shared" si="24"/>
        <v>1102409</v>
      </c>
      <c r="I46" s="1">
        <f t="shared" si="24"/>
        <v>0</v>
      </c>
      <c r="J46" s="1">
        <f t="shared" si="24"/>
        <v>1501094</v>
      </c>
      <c r="K46" s="1">
        <f t="shared" si="24"/>
        <v>27731972</v>
      </c>
      <c r="L46" s="1">
        <f t="shared" si="24"/>
        <v>0</v>
      </c>
      <c r="M46" s="44"/>
      <c r="N46" s="44"/>
      <c r="O46" s="1">
        <f>SUM(O47:O68)</f>
        <v>0</v>
      </c>
      <c r="P46" s="44"/>
      <c r="Q46" s="1">
        <f>SUM(Q47:Q68)</f>
        <v>147832000</v>
      </c>
      <c r="R46" s="1">
        <f>SUM(R47:R68)</f>
        <v>147832000</v>
      </c>
      <c r="S46" s="1">
        <f>SUM(S47:S68)</f>
        <v>0</v>
      </c>
      <c r="T46" s="1">
        <f>SUM(T47:T68)</f>
        <v>0</v>
      </c>
      <c r="U46" s="1">
        <f>SUM(U47:U64)</f>
        <v>256314</v>
      </c>
      <c r="V46" s="97">
        <f t="shared" si="21"/>
        <v>0.17338194707505816</v>
      </c>
      <c r="W46" s="1">
        <f>SUM(W47:W68)</f>
        <v>0</v>
      </c>
      <c r="X46" s="76"/>
      <c r="Y46" s="153"/>
      <c r="Z46" s="79"/>
      <c r="AA46" s="79"/>
      <c r="AB46" s="79"/>
      <c r="AC46" s="79"/>
      <c r="AD46" s="79"/>
      <c r="AE46" s="79"/>
    </row>
    <row r="47" spans="1:31" s="173" customFormat="1" ht="77.25" customHeight="1">
      <c r="A47" s="160">
        <v>1</v>
      </c>
      <c r="B47" s="161" t="s">
        <v>225</v>
      </c>
      <c r="C47" s="160" t="s">
        <v>53</v>
      </c>
      <c r="D47" s="113" t="s">
        <v>534</v>
      </c>
      <c r="E47" s="163">
        <f>SUM(F47:J47)</f>
        <v>4628824</v>
      </c>
      <c r="F47" s="164">
        <v>3824239</v>
      </c>
      <c r="G47" s="164">
        <f>106913+228613+88441</f>
        <v>423967</v>
      </c>
      <c r="H47" s="164">
        <v>192335</v>
      </c>
      <c r="I47" s="164"/>
      <c r="J47" s="164">
        <v>188283</v>
      </c>
      <c r="K47" s="115">
        <f>F47</f>
        <v>3824239</v>
      </c>
      <c r="L47" s="164"/>
      <c r="M47" s="165"/>
      <c r="N47" s="166"/>
      <c r="O47" s="118">
        <f>P47*E47/100</f>
        <v>0</v>
      </c>
      <c r="P47" s="167"/>
      <c r="Q47" s="120">
        <f t="shared" ref="Q47:Q68" si="25">SUM(R47:T47)</f>
        <v>3000000</v>
      </c>
      <c r="R47" s="168">
        <v>3000000</v>
      </c>
      <c r="S47" s="169"/>
      <c r="T47" s="170"/>
      <c r="U47" s="170"/>
      <c r="V47" s="122">
        <f t="shared" si="21"/>
        <v>0</v>
      </c>
      <c r="W47" s="170"/>
      <c r="X47" s="171" t="s">
        <v>561</v>
      </c>
      <c r="Y47" s="172"/>
      <c r="Z47" s="126" t="s">
        <v>244</v>
      </c>
      <c r="AA47" s="126" t="s">
        <v>258</v>
      </c>
      <c r="AD47" s="453"/>
      <c r="AE47" s="453"/>
    </row>
    <row r="48" spans="1:31" s="173" customFormat="1" ht="77.25" customHeight="1">
      <c r="A48" s="160">
        <v>2</v>
      </c>
      <c r="B48" s="161" t="s">
        <v>226</v>
      </c>
      <c r="C48" s="160" t="s">
        <v>55</v>
      </c>
      <c r="D48" s="113" t="s">
        <v>535</v>
      </c>
      <c r="E48" s="163">
        <f>SUM(F48:J48)</f>
        <v>6771263</v>
      </c>
      <c r="F48" s="164">
        <v>5755996</v>
      </c>
      <c r="G48" s="164">
        <f>147674+320562+108337</f>
        <v>576573</v>
      </c>
      <c r="H48" s="164">
        <v>170939</v>
      </c>
      <c r="I48" s="164"/>
      <c r="J48" s="164">
        <v>267755</v>
      </c>
      <c r="K48" s="115">
        <v>5755521</v>
      </c>
      <c r="L48" s="164"/>
      <c r="M48" s="165"/>
      <c r="N48" s="166"/>
      <c r="O48" s="118">
        <f t="shared" ref="O48:O71" si="26">P48*E48/100</f>
        <v>0</v>
      </c>
      <c r="P48" s="167"/>
      <c r="Q48" s="120">
        <f t="shared" si="25"/>
        <v>3000000</v>
      </c>
      <c r="R48" s="168">
        <v>3000000</v>
      </c>
      <c r="S48" s="169"/>
      <c r="T48" s="170"/>
      <c r="U48" s="170">
        <f>78489+19709+10442+147674</f>
        <v>256314</v>
      </c>
      <c r="V48" s="122">
        <f t="shared" si="21"/>
        <v>8.5437999999999992</v>
      </c>
      <c r="W48" s="170"/>
      <c r="X48" s="171" t="s">
        <v>536</v>
      </c>
      <c r="Y48" s="172"/>
      <c r="Z48" s="126" t="s">
        <v>244</v>
      </c>
      <c r="AA48" s="126" t="s">
        <v>258</v>
      </c>
      <c r="AD48" s="453"/>
      <c r="AE48" s="453"/>
    </row>
    <row r="49" spans="1:31" s="173" customFormat="1" ht="63.75">
      <c r="A49" s="160">
        <v>3</v>
      </c>
      <c r="B49" s="174" t="s">
        <v>227</v>
      </c>
      <c r="C49" s="160" t="s">
        <v>53</v>
      </c>
      <c r="D49" s="162"/>
      <c r="E49" s="163">
        <f t="shared" ref="E49:E57" si="27">SUM(F49:J49)</f>
        <v>0</v>
      </c>
      <c r="F49" s="164"/>
      <c r="G49" s="164"/>
      <c r="H49" s="164"/>
      <c r="I49" s="164"/>
      <c r="J49" s="164"/>
      <c r="K49" s="115">
        <f t="shared" ref="K49:K68" si="28">F49</f>
        <v>0</v>
      </c>
      <c r="L49" s="164"/>
      <c r="M49" s="165"/>
      <c r="N49" s="166"/>
      <c r="O49" s="118">
        <f t="shared" si="26"/>
        <v>0</v>
      </c>
      <c r="P49" s="167"/>
      <c r="Q49" s="120">
        <f t="shared" si="25"/>
        <v>8000000</v>
      </c>
      <c r="R49" s="175">
        <v>8000000</v>
      </c>
      <c r="S49" s="169"/>
      <c r="T49" s="170"/>
      <c r="U49" s="170"/>
      <c r="V49" s="122">
        <f t="shared" si="21"/>
        <v>0</v>
      </c>
      <c r="W49" s="170"/>
      <c r="X49" s="375" t="s">
        <v>467</v>
      </c>
      <c r="Y49" s="172"/>
      <c r="Z49" s="126" t="s">
        <v>244</v>
      </c>
      <c r="AA49" s="126" t="s">
        <v>258</v>
      </c>
      <c r="AD49" s="453"/>
      <c r="AE49" s="453"/>
    </row>
    <row r="50" spans="1:31" s="173" customFormat="1" ht="63.75">
      <c r="A50" s="160">
        <v>4</v>
      </c>
      <c r="B50" s="174" t="s">
        <v>228</v>
      </c>
      <c r="C50" s="160" t="s">
        <v>58</v>
      </c>
      <c r="D50" s="113" t="s">
        <v>604</v>
      </c>
      <c r="E50" s="163">
        <f t="shared" si="27"/>
        <v>8512473</v>
      </c>
      <c r="F50" s="164">
        <v>6363611</v>
      </c>
      <c r="G50" s="164">
        <f>193228+675653+163370</f>
        <v>1032251</v>
      </c>
      <c r="H50" s="164">
        <v>739135</v>
      </c>
      <c r="I50" s="164"/>
      <c r="J50" s="164">
        <v>377476</v>
      </c>
      <c r="K50" s="115">
        <f t="shared" si="28"/>
        <v>6363611</v>
      </c>
      <c r="L50" s="164"/>
      <c r="M50" s="165"/>
      <c r="N50" s="166"/>
      <c r="O50" s="118">
        <f t="shared" si="26"/>
        <v>0</v>
      </c>
      <c r="P50" s="167"/>
      <c r="Q50" s="120">
        <f t="shared" si="25"/>
        <v>4000000</v>
      </c>
      <c r="R50" s="175">
        <v>4000000</v>
      </c>
      <c r="S50" s="169"/>
      <c r="T50" s="170"/>
      <c r="U50" s="170"/>
      <c r="V50" s="122">
        <f t="shared" si="21"/>
        <v>0</v>
      </c>
      <c r="W50" s="170"/>
      <c r="X50" s="171" t="s">
        <v>607</v>
      </c>
      <c r="Y50" s="172"/>
      <c r="Z50" s="126" t="s">
        <v>244</v>
      </c>
      <c r="AA50" s="126" t="s">
        <v>258</v>
      </c>
      <c r="AD50" s="453"/>
      <c r="AE50" s="453"/>
    </row>
    <row r="51" spans="1:31" s="173" customFormat="1" ht="63.75">
      <c r="A51" s="160">
        <v>5</v>
      </c>
      <c r="B51" s="174" t="s">
        <v>229</v>
      </c>
      <c r="C51" s="160" t="s">
        <v>51</v>
      </c>
      <c r="D51" s="162"/>
      <c r="E51" s="163">
        <f t="shared" si="27"/>
        <v>0</v>
      </c>
      <c r="F51" s="164"/>
      <c r="G51" s="164"/>
      <c r="H51" s="164"/>
      <c r="I51" s="164"/>
      <c r="J51" s="164"/>
      <c r="K51" s="115">
        <f t="shared" si="28"/>
        <v>0</v>
      </c>
      <c r="L51" s="164"/>
      <c r="M51" s="165"/>
      <c r="N51" s="166"/>
      <c r="O51" s="118">
        <f t="shared" si="26"/>
        <v>0</v>
      </c>
      <c r="P51" s="167"/>
      <c r="Q51" s="120">
        <f t="shared" si="25"/>
        <v>6000000</v>
      </c>
      <c r="R51" s="175">
        <v>6000000</v>
      </c>
      <c r="S51" s="169"/>
      <c r="T51" s="170"/>
      <c r="U51" s="170"/>
      <c r="V51" s="122">
        <f t="shared" si="21"/>
        <v>0</v>
      </c>
      <c r="W51" s="170"/>
      <c r="X51" s="375" t="s">
        <v>467</v>
      </c>
      <c r="Y51" s="172"/>
      <c r="Z51" s="126" t="s">
        <v>244</v>
      </c>
      <c r="AA51" s="126" t="s">
        <v>258</v>
      </c>
      <c r="AD51" s="453"/>
      <c r="AE51" s="453"/>
    </row>
    <row r="52" spans="1:31" s="173" customFormat="1" ht="63.75">
      <c r="A52" s="160">
        <v>6</v>
      </c>
      <c r="B52" s="174" t="s">
        <v>102</v>
      </c>
      <c r="C52" s="160" t="s">
        <v>53</v>
      </c>
      <c r="D52" s="162"/>
      <c r="E52" s="163">
        <f t="shared" si="27"/>
        <v>0</v>
      </c>
      <c r="F52" s="164"/>
      <c r="G52" s="164"/>
      <c r="H52" s="164"/>
      <c r="I52" s="164"/>
      <c r="J52" s="164"/>
      <c r="K52" s="115">
        <f t="shared" si="28"/>
        <v>0</v>
      </c>
      <c r="L52" s="164"/>
      <c r="M52" s="165"/>
      <c r="N52" s="166"/>
      <c r="O52" s="118">
        <f t="shared" si="26"/>
        <v>0</v>
      </c>
      <c r="P52" s="167"/>
      <c r="Q52" s="120">
        <f t="shared" si="25"/>
        <v>8000000</v>
      </c>
      <c r="R52" s="175">
        <v>8000000</v>
      </c>
      <c r="S52" s="169"/>
      <c r="T52" s="170"/>
      <c r="U52" s="170"/>
      <c r="V52" s="122">
        <f t="shared" si="21"/>
        <v>0</v>
      </c>
      <c r="W52" s="170"/>
      <c r="X52" s="171" t="s">
        <v>636</v>
      </c>
      <c r="Y52" s="172"/>
      <c r="Z52" s="126" t="s">
        <v>244</v>
      </c>
      <c r="AA52" s="126" t="s">
        <v>258</v>
      </c>
      <c r="AD52" s="453"/>
      <c r="AE52" s="453"/>
    </row>
    <row r="53" spans="1:31" s="173" customFormat="1" ht="63.75">
      <c r="A53" s="160">
        <v>7</v>
      </c>
      <c r="B53" s="174" t="s">
        <v>230</v>
      </c>
      <c r="C53" s="160" t="s">
        <v>58</v>
      </c>
      <c r="D53" s="162"/>
      <c r="E53" s="163">
        <f t="shared" si="27"/>
        <v>0</v>
      </c>
      <c r="F53" s="164"/>
      <c r="G53" s="164"/>
      <c r="H53" s="164"/>
      <c r="I53" s="164"/>
      <c r="J53" s="164"/>
      <c r="K53" s="115">
        <f t="shared" si="28"/>
        <v>0</v>
      </c>
      <c r="L53" s="164"/>
      <c r="M53" s="165"/>
      <c r="N53" s="166"/>
      <c r="O53" s="118">
        <f t="shared" si="26"/>
        <v>0</v>
      </c>
      <c r="P53" s="167"/>
      <c r="Q53" s="120">
        <f t="shared" si="25"/>
        <v>6000000</v>
      </c>
      <c r="R53" s="175">
        <v>6000000</v>
      </c>
      <c r="S53" s="169"/>
      <c r="T53" s="170"/>
      <c r="U53" s="170"/>
      <c r="V53" s="122">
        <f t="shared" si="21"/>
        <v>0</v>
      </c>
      <c r="W53" s="170"/>
      <c r="X53" s="160" t="s">
        <v>637</v>
      </c>
      <c r="Y53" s="172"/>
      <c r="Z53" s="126" t="s">
        <v>244</v>
      </c>
      <c r="AA53" s="126" t="s">
        <v>258</v>
      </c>
      <c r="AD53" s="453"/>
      <c r="AE53" s="453"/>
    </row>
    <row r="54" spans="1:31" s="173" customFormat="1" ht="63.75">
      <c r="A54" s="160">
        <v>8</v>
      </c>
      <c r="B54" s="174" t="s">
        <v>231</v>
      </c>
      <c r="C54" s="160" t="s">
        <v>58</v>
      </c>
      <c r="D54" s="162"/>
      <c r="E54" s="163">
        <f t="shared" si="27"/>
        <v>0</v>
      </c>
      <c r="F54" s="164"/>
      <c r="G54" s="164"/>
      <c r="H54" s="164"/>
      <c r="I54" s="164"/>
      <c r="J54" s="164"/>
      <c r="K54" s="115">
        <f t="shared" si="28"/>
        <v>0</v>
      </c>
      <c r="L54" s="164"/>
      <c r="M54" s="165"/>
      <c r="N54" s="166"/>
      <c r="O54" s="118">
        <f t="shared" si="26"/>
        <v>0</v>
      </c>
      <c r="P54" s="167"/>
      <c r="Q54" s="120">
        <f t="shared" si="25"/>
        <v>8000000</v>
      </c>
      <c r="R54" s="175">
        <v>8000000</v>
      </c>
      <c r="S54" s="169"/>
      <c r="T54" s="170"/>
      <c r="U54" s="170"/>
      <c r="V54" s="122">
        <f t="shared" si="21"/>
        <v>0</v>
      </c>
      <c r="W54" s="170"/>
      <c r="X54" s="160" t="s">
        <v>526</v>
      </c>
      <c r="Y54" s="172"/>
      <c r="Z54" s="126" t="s">
        <v>244</v>
      </c>
      <c r="AA54" s="126" t="s">
        <v>258</v>
      </c>
      <c r="AD54" s="453"/>
      <c r="AE54" s="453"/>
    </row>
    <row r="55" spans="1:31" s="173" customFormat="1" ht="63.75">
      <c r="A55" s="160">
        <v>9</v>
      </c>
      <c r="B55" s="174" t="s">
        <v>232</v>
      </c>
      <c r="C55" s="160" t="s">
        <v>54</v>
      </c>
      <c r="D55" s="162"/>
      <c r="E55" s="163">
        <f t="shared" si="27"/>
        <v>0</v>
      </c>
      <c r="F55" s="164"/>
      <c r="G55" s="164"/>
      <c r="H55" s="164"/>
      <c r="I55" s="164"/>
      <c r="J55" s="164"/>
      <c r="K55" s="115">
        <f t="shared" si="28"/>
        <v>0</v>
      </c>
      <c r="L55" s="164"/>
      <c r="M55" s="165"/>
      <c r="N55" s="166"/>
      <c r="O55" s="118">
        <f t="shared" si="26"/>
        <v>0</v>
      </c>
      <c r="P55" s="167"/>
      <c r="Q55" s="120">
        <f t="shared" si="25"/>
        <v>15000000</v>
      </c>
      <c r="R55" s="175">
        <v>15000000</v>
      </c>
      <c r="S55" s="169"/>
      <c r="T55" s="170"/>
      <c r="U55" s="170"/>
      <c r="V55" s="122">
        <f t="shared" si="21"/>
        <v>0</v>
      </c>
      <c r="W55" s="170"/>
      <c r="X55" s="160" t="s">
        <v>526</v>
      </c>
      <c r="Y55" s="172"/>
      <c r="Z55" s="126" t="s">
        <v>244</v>
      </c>
      <c r="AA55" s="126" t="s">
        <v>258</v>
      </c>
      <c r="AD55" s="453"/>
      <c r="AE55" s="453"/>
    </row>
    <row r="56" spans="1:31" s="173" customFormat="1" ht="63.75">
      <c r="A56" s="160">
        <v>10</v>
      </c>
      <c r="B56" s="174" t="s">
        <v>233</v>
      </c>
      <c r="C56" s="160" t="s">
        <v>53</v>
      </c>
      <c r="D56" s="162"/>
      <c r="E56" s="163">
        <f t="shared" si="27"/>
        <v>0</v>
      </c>
      <c r="F56" s="164"/>
      <c r="G56" s="164"/>
      <c r="H56" s="164"/>
      <c r="I56" s="164"/>
      <c r="J56" s="164"/>
      <c r="K56" s="115">
        <f t="shared" si="28"/>
        <v>0</v>
      </c>
      <c r="L56" s="164"/>
      <c r="M56" s="165"/>
      <c r="N56" s="166"/>
      <c r="O56" s="118">
        <f t="shared" si="26"/>
        <v>0</v>
      </c>
      <c r="P56" s="167"/>
      <c r="Q56" s="120">
        <f t="shared" si="25"/>
        <v>12000000</v>
      </c>
      <c r="R56" s="175">
        <v>12000000</v>
      </c>
      <c r="S56" s="169"/>
      <c r="T56" s="170"/>
      <c r="U56" s="170"/>
      <c r="V56" s="122">
        <f t="shared" si="21"/>
        <v>0</v>
      </c>
      <c r="W56" s="170"/>
      <c r="X56" s="160" t="s">
        <v>526</v>
      </c>
      <c r="Y56" s="172"/>
      <c r="Z56" s="126" t="s">
        <v>244</v>
      </c>
      <c r="AA56" s="126" t="s">
        <v>258</v>
      </c>
      <c r="AD56" s="453"/>
      <c r="AE56" s="453"/>
    </row>
    <row r="57" spans="1:31" s="173" customFormat="1" ht="63.75">
      <c r="A57" s="160">
        <v>11</v>
      </c>
      <c r="B57" s="174" t="s">
        <v>234</v>
      </c>
      <c r="C57" s="160" t="s">
        <v>50</v>
      </c>
      <c r="D57" s="162"/>
      <c r="E57" s="163">
        <f t="shared" si="27"/>
        <v>0</v>
      </c>
      <c r="F57" s="164"/>
      <c r="G57" s="164"/>
      <c r="H57" s="164"/>
      <c r="I57" s="164"/>
      <c r="J57" s="164"/>
      <c r="K57" s="115">
        <f t="shared" si="28"/>
        <v>0</v>
      </c>
      <c r="L57" s="164"/>
      <c r="M57" s="165"/>
      <c r="N57" s="166"/>
      <c r="O57" s="118">
        <f t="shared" si="26"/>
        <v>0</v>
      </c>
      <c r="P57" s="167"/>
      <c r="Q57" s="120">
        <f t="shared" si="25"/>
        <v>12000000</v>
      </c>
      <c r="R57" s="175">
        <v>12000000</v>
      </c>
      <c r="S57" s="169"/>
      <c r="T57" s="170"/>
      <c r="U57" s="170"/>
      <c r="V57" s="122">
        <f t="shared" si="21"/>
        <v>0</v>
      </c>
      <c r="W57" s="170"/>
      <c r="X57" s="375" t="s">
        <v>526</v>
      </c>
      <c r="Y57" s="172"/>
      <c r="Z57" s="126" t="s">
        <v>244</v>
      </c>
      <c r="AA57" s="126" t="s">
        <v>258</v>
      </c>
      <c r="AD57" s="453"/>
      <c r="AE57" s="453"/>
    </row>
    <row r="58" spans="1:31" s="397" customFormat="1" ht="51">
      <c r="A58" s="380">
        <v>12</v>
      </c>
      <c r="B58" s="381" t="s">
        <v>499</v>
      </c>
      <c r="C58" s="380" t="s">
        <v>51</v>
      </c>
      <c r="D58" s="382"/>
      <c r="E58" s="383">
        <f>SUM(F58:J58)</f>
        <v>0</v>
      </c>
      <c r="F58" s="384"/>
      <c r="G58" s="384"/>
      <c r="H58" s="384"/>
      <c r="I58" s="384"/>
      <c r="J58" s="384"/>
      <c r="K58" s="384">
        <f t="shared" si="28"/>
        <v>0</v>
      </c>
      <c r="L58" s="384"/>
      <c r="M58" s="385"/>
      <c r="N58" s="386"/>
      <c r="O58" s="387">
        <f t="shared" si="26"/>
        <v>0</v>
      </c>
      <c r="P58" s="388"/>
      <c r="Q58" s="389">
        <f t="shared" si="25"/>
        <v>3500000</v>
      </c>
      <c r="R58" s="390">
        <v>3500000</v>
      </c>
      <c r="S58" s="391"/>
      <c r="T58" s="392"/>
      <c r="U58" s="392"/>
      <c r="V58" s="393"/>
      <c r="W58" s="392"/>
      <c r="X58" s="394" t="s">
        <v>510</v>
      </c>
      <c r="Y58" s="395"/>
      <c r="Z58" s="396" t="s">
        <v>504</v>
      </c>
      <c r="AA58" s="126" t="s">
        <v>515</v>
      </c>
      <c r="AD58" s="454"/>
      <c r="AE58" s="454"/>
    </row>
    <row r="59" spans="1:31" s="397" customFormat="1" ht="51">
      <c r="A59" s="380">
        <v>13</v>
      </c>
      <c r="B59" s="381" t="s">
        <v>500</v>
      </c>
      <c r="C59" s="380" t="s">
        <v>52</v>
      </c>
      <c r="D59" s="382"/>
      <c r="E59" s="383">
        <f t="shared" ref="E59:E68" si="29">SUM(F59:J59)</f>
        <v>0</v>
      </c>
      <c r="F59" s="384"/>
      <c r="G59" s="384"/>
      <c r="H59" s="384"/>
      <c r="I59" s="384"/>
      <c r="J59" s="384"/>
      <c r="K59" s="384">
        <f t="shared" si="28"/>
        <v>0</v>
      </c>
      <c r="L59" s="384"/>
      <c r="M59" s="385"/>
      <c r="N59" s="386"/>
      <c r="O59" s="387"/>
      <c r="P59" s="388"/>
      <c r="Q59" s="389">
        <f t="shared" si="25"/>
        <v>3500000</v>
      </c>
      <c r="R59" s="390">
        <v>3500000</v>
      </c>
      <c r="S59" s="391"/>
      <c r="T59" s="392"/>
      <c r="U59" s="392"/>
      <c r="V59" s="393"/>
      <c r="W59" s="392"/>
      <c r="X59" s="394" t="s">
        <v>510</v>
      </c>
      <c r="Y59" s="395"/>
      <c r="Z59" s="396" t="s">
        <v>504</v>
      </c>
      <c r="AA59" s="126" t="s">
        <v>515</v>
      </c>
      <c r="AD59" s="454"/>
      <c r="AE59" s="454"/>
    </row>
    <row r="60" spans="1:31" s="397" customFormat="1" ht="51">
      <c r="A60" s="380">
        <v>14</v>
      </c>
      <c r="B60" s="381" t="s">
        <v>501</v>
      </c>
      <c r="C60" s="380" t="s">
        <v>56</v>
      </c>
      <c r="D60" s="382"/>
      <c r="E60" s="383">
        <f t="shared" si="29"/>
        <v>0</v>
      </c>
      <c r="F60" s="384"/>
      <c r="G60" s="384"/>
      <c r="H60" s="384"/>
      <c r="I60" s="384"/>
      <c r="J60" s="384"/>
      <c r="K60" s="384">
        <f t="shared" si="28"/>
        <v>0</v>
      </c>
      <c r="L60" s="384"/>
      <c r="M60" s="385"/>
      <c r="N60" s="386"/>
      <c r="O60" s="387"/>
      <c r="P60" s="388"/>
      <c r="Q60" s="389">
        <f t="shared" si="25"/>
        <v>3500000</v>
      </c>
      <c r="R60" s="390">
        <v>3500000</v>
      </c>
      <c r="S60" s="391"/>
      <c r="T60" s="392"/>
      <c r="U60" s="392"/>
      <c r="V60" s="393"/>
      <c r="W60" s="392"/>
      <c r="X60" s="473" t="s">
        <v>638</v>
      </c>
      <c r="Y60" s="395"/>
      <c r="Z60" s="396" t="s">
        <v>504</v>
      </c>
      <c r="AA60" s="126" t="s">
        <v>515</v>
      </c>
      <c r="AD60" s="454"/>
      <c r="AE60" s="454"/>
    </row>
    <row r="61" spans="1:31" s="397" customFormat="1" ht="51">
      <c r="A61" s="380">
        <v>15</v>
      </c>
      <c r="B61" s="381" t="s">
        <v>502</v>
      </c>
      <c r="C61" s="380" t="s">
        <v>51</v>
      </c>
      <c r="D61" s="382"/>
      <c r="E61" s="383">
        <f t="shared" si="29"/>
        <v>0</v>
      </c>
      <c r="F61" s="384"/>
      <c r="G61" s="384"/>
      <c r="H61" s="384"/>
      <c r="I61" s="384"/>
      <c r="J61" s="384"/>
      <c r="K61" s="384">
        <f t="shared" si="28"/>
        <v>0</v>
      </c>
      <c r="L61" s="384"/>
      <c r="M61" s="385"/>
      <c r="N61" s="386"/>
      <c r="O61" s="387"/>
      <c r="P61" s="388"/>
      <c r="Q61" s="389">
        <f t="shared" si="25"/>
        <v>2832000</v>
      </c>
      <c r="R61" s="390">
        <v>2832000</v>
      </c>
      <c r="S61" s="391"/>
      <c r="T61" s="392"/>
      <c r="U61" s="392"/>
      <c r="V61" s="393"/>
      <c r="W61" s="392"/>
      <c r="X61" s="394" t="s">
        <v>510</v>
      </c>
      <c r="Y61" s="395"/>
      <c r="Z61" s="396" t="s">
        <v>504</v>
      </c>
      <c r="AA61" s="126" t="s">
        <v>515</v>
      </c>
      <c r="AD61" s="454"/>
      <c r="AE61" s="454"/>
    </row>
    <row r="62" spans="1:31" s="397" customFormat="1" ht="51">
      <c r="A62" s="380">
        <v>16</v>
      </c>
      <c r="B62" s="381" t="s">
        <v>503</v>
      </c>
      <c r="C62" s="380" t="s">
        <v>55</v>
      </c>
      <c r="D62" s="382"/>
      <c r="E62" s="383">
        <f t="shared" si="29"/>
        <v>0</v>
      </c>
      <c r="F62" s="384"/>
      <c r="G62" s="384"/>
      <c r="H62" s="384"/>
      <c r="I62" s="384"/>
      <c r="J62" s="384"/>
      <c r="K62" s="384">
        <f t="shared" si="28"/>
        <v>0</v>
      </c>
      <c r="L62" s="384"/>
      <c r="M62" s="385"/>
      <c r="N62" s="386"/>
      <c r="O62" s="387"/>
      <c r="P62" s="388"/>
      <c r="Q62" s="389">
        <f t="shared" si="25"/>
        <v>3500000</v>
      </c>
      <c r="R62" s="390">
        <v>3500000</v>
      </c>
      <c r="S62" s="391"/>
      <c r="T62" s="392"/>
      <c r="U62" s="392"/>
      <c r="V62" s="393"/>
      <c r="W62" s="392"/>
      <c r="X62" s="394" t="s">
        <v>467</v>
      </c>
      <c r="Y62" s="395"/>
      <c r="Z62" s="396" t="s">
        <v>504</v>
      </c>
      <c r="AA62" s="126" t="s">
        <v>515</v>
      </c>
      <c r="AD62" s="454"/>
      <c r="AE62" s="454"/>
    </row>
    <row r="63" spans="1:31" s="173" customFormat="1" ht="63.75">
      <c r="A63" s="160">
        <v>17</v>
      </c>
      <c r="B63" s="176" t="s">
        <v>235</v>
      </c>
      <c r="C63" s="160" t="s">
        <v>57</v>
      </c>
      <c r="D63" s="162"/>
      <c r="E63" s="163">
        <f t="shared" si="29"/>
        <v>0</v>
      </c>
      <c r="F63" s="164"/>
      <c r="G63" s="164"/>
      <c r="H63" s="164"/>
      <c r="I63" s="164"/>
      <c r="J63" s="164"/>
      <c r="K63" s="115">
        <f t="shared" si="28"/>
        <v>0</v>
      </c>
      <c r="L63" s="164"/>
      <c r="M63" s="165"/>
      <c r="N63" s="166"/>
      <c r="O63" s="118">
        <f t="shared" si="26"/>
        <v>0</v>
      </c>
      <c r="P63" s="167"/>
      <c r="Q63" s="120">
        <f t="shared" si="25"/>
        <v>14000000</v>
      </c>
      <c r="R63" s="168">
        <v>14000000</v>
      </c>
      <c r="S63" s="169"/>
      <c r="T63" s="170"/>
      <c r="U63" s="170"/>
      <c r="V63" s="122">
        <f t="shared" si="21"/>
        <v>0</v>
      </c>
      <c r="W63" s="170"/>
      <c r="X63" s="171" t="s">
        <v>639</v>
      </c>
      <c r="Y63" s="172"/>
      <c r="Z63" s="126" t="s">
        <v>244</v>
      </c>
      <c r="AA63" s="126" t="s">
        <v>258</v>
      </c>
      <c r="AD63" s="453"/>
      <c r="AE63" s="453"/>
    </row>
    <row r="64" spans="1:31" s="173" customFormat="1" ht="63.75">
      <c r="A64" s="160">
        <v>18</v>
      </c>
      <c r="B64" s="176" t="s">
        <v>236</v>
      </c>
      <c r="C64" s="160" t="s">
        <v>222</v>
      </c>
      <c r="D64" s="113" t="s">
        <v>530</v>
      </c>
      <c r="E64" s="163">
        <f t="shared" si="29"/>
        <v>14019166</v>
      </c>
      <c r="F64" s="164">
        <v>11788601</v>
      </c>
      <c r="G64" s="164">
        <f>325719+920236+317030</f>
        <v>1562985</v>
      </c>
      <c r="H64" s="164"/>
      <c r="I64" s="164"/>
      <c r="J64" s="164">
        <v>667580</v>
      </c>
      <c r="K64" s="115">
        <f t="shared" si="28"/>
        <v>11788601</v>
      </c>
      <c r="L64" s="164"/>
      <c r="M64" s="165"/>
      <c r="N64" s="166"/>
      <c r="O64" s="118">
        <f t="shared" si="26"/>
        <v>0</v>
      </c>
      <c r="P64" s="167"/>
      <c r="Q64" s="120">
        <f t="shared" si="25"/>
        <v>8000000</v>
      </c>
      <c r="R64" s="168">
        <v>8000000</v>
      </c>
      <c r="S64" s="169"/>
      <c r="T64" s="170"/>
      <c r="U64" s="170"/>
      <c r="V64" s="122">
        <f t="shared" si="21"/>
        <v>0</v>
      </c>
      <c r="W64" s="170"/>
      <c r="X64" s="160" t="s">
        <v>536</v>
      </c>
      <c r="Y64" s="172"/>
      <c r="Z64" s="126" t="s">
        <v>244</v>
      </c>
      <c r="AA64" s="126" t="s">
        <v>258</v>
      </c>
      <c r="AD64" s="453"/>
      <c r="AE64" s="453"/>
    </row>
    <row r="65" spans="1:31" s="397" customFormat="1" ht="51">
      <c r="A65" s="380">
        <v>19</v>
      </c>
      <c r="B65" s="398" t="s">
        <v>506</v>
      </c>
      <c r="C65" s="380" t="s">
        <v>51</v>
      </c>
      <c r="D65" s="382"/>
      <c r="E65" s="383">
        <f t="shared" si="29"/>
        <v>0</v>
      </c>
      <c r="F65" s="384"/>
      <c r="G65" s="384"/>
      <c r="H65" s="384"/>
      <c r="I65" s="384"/>
      <c r="J65" s="384"/>
      <c r="K65" s="384">
        <f t="shared" si="28"/>
        <v>0</v>
      </c>
      <c r="L65" s="384"/>
      <c r="M65" s="385"/>
      <c r="N65" s="386"/>
      <c r="O65" s="387"/>
      <c r="P65" s="388"/>
      <c r="Q65" s="389">
        <f t="shared" si="25"/>
        <v>9000000</v>
      </c>
      <c r="R65" s="399">
        <v>9000000</v>
      </c>
      <c r="S65" s="391"/>
      <c r="T65" s="392"/>
      <c r="U65" s="392"/>
      <c r="V65" s="393"/>
      <c r="W65" s="392"/>
      <c r="X65" s="473" t="s">
        <v>605</v>
      </c>
      <c r="Y65" s="395"/>
      <c r="Z65" s="396" t="s">
        <v>504</v>
      </c>
      <c r="AA65" s="126" t="s">
        <v>515</v>
      </c>
      <c r="AD65" s="454"/>
      <c r="AE65" s="454"/>
    </row>
    <row r="66" spans="1:31" s="397" customFormat="1" ht="51">
      <c r="A66" s="380">
        <v>20</v>
      </c>
      <c r="B66" s="398" t="s">
        <v>507</v>
      </c>
      <c r="C66" s="380" t="s">
        <v>51</v>
      </c>
      <c r="D66" s="382"/>
      <c r="E66" s="383">
        <f t="shared" si="29"/>
        <v>0</v>
      </c>
      <c r="F66" s="384"/>
      <c r="G66" s="384"/>
      <c r="H66" s="384"/>
      <c r="I66" s="384"/>
      <c r="J66" s="384"/>
      <c r="K66" s="384">
        <f t="shared" si="28"/>
        <v>0</v>
      </c>
      <c r="L66" s="384"/>
      <c r="M66" s="385"/>
      <c r="N66" s="386"/>
      <c r="O66" s="387"/>
      <c r="P66" s="388"/>
      <c r="Q66" s="389">
        <f t="shared" si="25"/>
        <v>9000000</v>
      </c>
      <c r="R66" s="399">
        <v>9000000</v>
      </c>
      <c r="S66" s="391"/>
      <c r="T66" s="392"/>
      <c r="U66" s="392"/>
      <c r="V66" s="393"/>
      <c r="W66" s="392"/>
      <c r="X66" s="473" t="s">
        <v>605</v>
      </c>
      <c r="Y66" s="395"/>
      <c r="Z66" s="396" t="s">
        <v>504</v>
      </c>
      <c r="AA66" s="126" t="s">
        <v>515</v>
      </c>
      <c r="AD66" s="454"/>
      <c r="AE66" s="454"/>
    </row>
    <row r="67" spans="1:31" s="397" customFormat="1" ht="51">
      <c r="A67" s="380">
        <v>21</v>
      </c>
      <c r="B67" s="398" t="s">
        <v>508</v>
      </c>
      <c r="C67" s="380" t="s">
        <v>505</v>
      </c>
      <c r="D67" s="382"/>
      <c r="E67" s="383">
        <f t="shared" si="29"/>
        <v>0</v>
      </c>
      <c r="F67" s="384"/>
      <c r="G67" s="384"/>
      <c r="H67" s="384"/>
      <c r="I67" s="384"/>
      <c r="J67" s="384"/>
      <c r="K67" s="384">
        <f t="shared" si="28"/>
        <v>0</v>
      </c>
      <c r="L67" s="384"/>
      <c r="M67" s="385"/>
      <c r="N67" s="386"/>
      <c r="O67" s="387"/>
      <c r="P67" s="388"/>
      <c r="Q67" s="389">
        <f t="shared" si="25"/>
        <v>3000000</v>
      </c>
      <c r="R67" s="399">
        <v>3000000</v>
      </c>
      <c r="S67" s="391"/>
      <c r="T67" s="392"/>
      <c r="U67" s="392"/>
      <c r="V67" s="393"/>
      <c r="W67" s="392"/>
      <c r="X67" s="380" t="s">
        <v>546</v>
      </c>
      <c r="Y67" s="395"/>
      <c r="Z67" s="396" t="s">
        <v>504</v>
      </c>
      <c r="AA67" s="126" t="s">
        <v>515</v>
      </c>
      <c r="AD67" s="454"/>
      <c r="AE67" s="454"/>
    </row>
    <row r="68" spans="1:31" s="397" customFormat="1" ht="51">
      <c r="A68" s="380">
        <v>22</v>
      </c>
      <c r="B68" s="398" t="s">
        <v>509</v>
      </c>
      <c r="C68" s="380" t="s">
        <v>50</v>
      </c>
      <c r="D68" s="382"/>
      <c r="E68" s="383">
        <f t="shared" si="29"/>
        <v>0</v>
      </c>
      <c r="F68" s="384"/>
      <c r="G68" s="384"/>
      <c r="H68" s="384"/>
      <c r="I68" s="384"/>
      <c r="J68" s="384"/>
      <c r="K68" s="384">
        <f t="shared" si="28"/>
        <v>0</v>
      </c>
      <c r="L68" s="384"/>
      <c r="M68" s="385"/>
      <c r="N68" s="386"/>
      <c r="O68" s="387"/>
      <c r="P68" s="388"/>
      <c r="Q68" s="389">
        <f t="shared" si="25"/>
        <v>3000000</v>
      </c>
      <c r="R68" s="399">
        <v>3000000</v>
      </c>
      <c r="S68" s="391"/>
      <c r="T68" s="392"/>
      <c r="U68" s="392"/>
      <c r="V68" s="393"/>
      <c r="W68" s="392"/>
      <c r="X68" s="473" t="s">
        <v>605</v>
      </c>
      <c r="Y68" s="395"/>
      <c r="Z68" s="396" t="s">
        <v>504</v>
      </c>
      <c r="AA68" s="126" t="s">
        <v>515</v>
      </c>
      <c r="AD68" s="454"/>
      <c r="AE68" s="454"/>
    </row>
    <row r="69" spans="1:31" s="29" customFormat="1" ht="25.5">
      <c r="A69" s="142" t="s">
        <v>38</v>
      </c>
      <c r="B69" s="143" t="s">
        <v>237</v>
      </c>
      <c r="C69" s="82"/>
      <c r="D69" s="94">
        <f>SUM(D70:D71)</f>
        <v>0</v>
      </c>
      <c r="E69" s="145">
        <f t="shared" ref="E69:L69" si="30">SUM(E70:E71)</f>
        <v>9250075</v>
      </c>
      <c r="F69" s="145">
        <f t="shared" si="30"/>
        <v>7331081</v>
      </c>
      <c r="G69" s="145">
        <f t="shared" si="30"/>
        <v>1041195</v>
      </c>
      <c r="H69" s="145">
        <f t="shared" si="30"/>
        <v>0</v>
      </c>
      <c r="I69" s="145">
        <f t="shared" si="30"/>
        <v>459186</v>
      </c>
      <c r="J69" s="145">
        <f t="shared" si="30"/>
        <v>418613</v>
      </c>
      <c r="K69" s="145">
        <f t="shared" si="30"/>
        <v>7392803</v>
      </c>
      <c r="L69" s="145">
        <f t="shared" si="30"/>
        <v>7199275</v>
      </c>
      <c r="M69" s="73"/>
      <c r="N69" s="144"/>
      <c r="O69" s="94">
        <f>SUM(O70:O71)</f>
        <v>3133632.5300000003</v>
      </c>
      <c r="P69" s="2"/>
      <c r="Q69" s="145">
        <f>SUM(Q70:Q71)</f>
        <v>8000000</v>
      </c>
      <c r="R69" s="145">
        <f>SUM(R70:R71)</f>
        <v>8000000</v>
      </c>
      <c r="S69" s="145">
        <f>SUM(S70:S71)</f>
        <v>0</v>
      </c>
      <c r="T69" s="145">
        <f>SUM(T70:T71)</f>
        <v>0</v>
      </c>
      <c r="U69" s="145">
        <f>SUM(U70:U71)</f>
        <v>3338481</v>
      </c>
      <c r="V69" s="97">
        <f t="shared" si="21"/>
        <v>41.731012499999999</v>
      </c>
      <c r="W69" s="145">
        <f>SUM(W70:W71)</f>
        <v>3338481</v>
      </c>
      <c r="X69" s="82"/>
      <c r="Y69" s="95"/>
      <c r="Z69" s="139"/>
      <c r="AD69" s="80"/>
      <c r="AE69" s="80"/>
    </row>
    <row r="70" spans="1:31" s="182" customFormat="1" ht="89.25">
      <c r="A70" s="177">
        <v>23</v>
      </c>
      <c r="B70" s="178" t="s">
        <v>223</v>
      </c>
      <c r="C70" s="119" t="s">
        <v>55</v>
      </c>
      <c r="D70" s="113" t="s">
        <v>247</v>
      </c>
      <c r="E70" s="114">
        <f>SUM(F70:J70)</f>
        <v>4655019</v>
      </c>
      <c r="F70" s="115">
        <v>3769238</v>
      </c>
      <c r="G70" s="115">
        <f>97228+318864+96416</f>
        <v>512508</v>
      </c>
      <c r="H70" s="115"/>
      <c r="I70" s="115">
        <v>159186</v>
      </c>
      <c r="J70" s="115">
        <v>214087</v>
      </c>
      <c r="K70" s="115">
        <v>3801176</v>
      </c>
      <c r="L70" s="115">
        <v>3699682</v>
      </c>
      <c r="M70" s="116" t="s">
        <v>315</v>
      </c>
      <c r="N70" s="116" t="s">
        <v>316</v>
      </c>
      <c r="O70" s="118">
        <f t="shared" si="26"/>
        <v>698252.85</v>
      </c>
      <c r="P70" s="179">
        <v>15</v>
      </c>
      <c r="Q70" s="120">
        <f>SUM(R70:T70)</f>
        <v>4000000</v>
      </c>
      <c r="R70" s="180">
        <v>4000000</v>
      </c>
      <c r="S70" s="181"/>
      <c r="T70" s="121"/>
      <c r="U70" s="121">
        <v>1214363</v>
      </c>
      <c r="V70" s="122">
        <f>U70/Q70*100</f>
        <v>30.359075000000001</v>
      </c>
      <c r="W70" s="121">
        <f>U70</f>
        <v>1214363</v>
      </c>
      <c r="X70" s="119" t="s">
        <v>562</v>
      </c>
      <c r="Y70" s="124"/>
      <c r="Z70" s="126" t="s">
        <v>245</v>
      </c>
      <c r="AA70" s="126"/>
      <c r="AD70" s="455"/>
      <c r="AE70" s="455"/>
    </row>
    <row r="71" spans="1:31" s="182" customFormat="1" ht="89.25">
      <c r="A71" s="177">
        <v>24</v>
      </c>
      <c r="B71" s="178" t="s">
        <v>224</v>
      </c>
      <c r="C71" s="119" t="s">
        <v>51</v>
      </c>
      <c r="D71" s="113" t="s">
        <v>246</v>
      </c>
      <c r="E71" s="114">
        <f>SUM(F71:J71)</f>
        <v>4595056</v>
      </c>
      <c r="F71" s="115">
        <v>3561843</v>
      </c>
      <c r="G71" s="115">
        <f>92589+343018+93080</f>
        <v>528687</v>
      </c>
      <c r="H71" s="115"/>
      <c r="I71" s="115">
        <v>300000</v>
      </c>
      <c r="J71" s="115">
        <v>204526</v>
      </c>
      <c r="K71" s="115">
        <v>3591627</v>
      </c>
      <c r="L71" s="115">
        <v>3499593</v>
      </c>
      <c r="M71" s="116" t="s">
        <v>265</v>
      </c>
      <c r="N71" s="116" t="s">
        <v>302</v>
      </c>
      <c r="O71" s="118">
        <f t="shared" si="26"/>
        <v>2435379.6800000002</v>
      </c>
      <c r="P71" s="179">
        <v>53</v>
      </c>
      <c r="Q71" s="120">
        <f>SUM(R71:T71)</f>
        <v>4000000</v>
      </c>
      <c r="R71" s="180">
        <v>4000000</v>
      </c>
      <c r="S71" s="181"/>
      <c r="T71" s="121"/>
      <c r="U71" s="121">
        <v>2124118</v>
      </c>
      <c r="V71" s="122">
        <f>U71/Q71*100</f>
        <v>53.102950000000007</v>
      </c>
      <c r="W71" s="121">
        <f>U71</f>
        <v>2124118</v>
      </c>
      <c r="X71" s="119" t="s">
        <v>525</v>
      </c>
      <c r="Y71" s="124"/>
      <c r="Z71" s="126" t="s">
        <v>245</v>
      </c>
      <c r="AA71" s="126"/>
      <c r="AD71" s="455"/>
      <c r="AE71" s="455"/>
    </row>
    <row r="72" spans="1:31" s="69" customFormat="1" ht="25.5">
      <c r="A72" s="2" t="s">
        <v>108</v>
      </c>
      <c r="B72" s="67" t="s">
        <v>288</v>
      </c>
      <c r="C72" s="68"/>
      <c r="D72" s="68"/>
      <c r="E72" s="44">
        <f>E73</f>
        <v>3013408</v>
      </c>
      <c r="F72" s="44">
        <f t="shared" ref="F72:L72" si="31">F73</f>
        <v>2557126</v>
      </c>
      <c r="G72" s="44">
        <f t="shared" si="31"/>
        <v>312786</v>
      </c>
      <c r="H72" s="44">
        <f t="shared" si="31"/>
        <v>0</v>
      </c>
      <c r="I72" s="44">
        <f t="shared" si="31"/>
        <v>0</v>
      </c>
      <c r="J72" s="44">
        <f t="shared" si="31"/>
        <v>143496</v>
      </c>
      <c r="K72" s="44">
        <f t="shared" si="31"/>
        <v>1079199</v>
      </c>
      <c r="L72" s="44">
        <f t="shared" si="31"/>
        <v>1079199</v>
      </c>
      <c r="M72" s="65"/>
      <c r="N72" s="68"/>
      <c r="O72" s="44">
        <f>O73</f>
        <v>3013408</v>
      </c>
      <c r="P72" s="65"/>
      <c r="Q72" s="44">
        <f>Q73</f>
        <v>1535481</v>
      </c>
      <c r="R72" s="44">
        <f>R73</f>
        <v>1535481</v>
      </c>
      <c r="S72" s="44">
        <f>S73</f>
        <v>0</v>
      </c>
      <c r="T72" s="44">
        <f>T73</f>
        <v>0</v>
      </c>
      <c r="U72" s="44">
        <f>U73</f>
        <v>1264455</v>
      </c>
      <c r="V72" s="97">
        <f>U72/Q72*100</f>
        <v>82.349114056116619</v>
      </c>
      <c r="W72" s="44">
        <f>W73</f>
        <v>1264455</v>
      </c>
      <c r="X72" s="65"/>
      <c r="Y72" s="41"/>
      <c r="AD72" s="159"/>
      <c r="AE72" s="159"/>
    </row>
    <row r="73" spans="1:31" s="182" customFormat="1" ht="51">
      <c r="A73" s="177">
        <v>25</v>
      </c>
      <c r="B73" s="178" t="s">
        <v>289</v>
      </c>
      <c r="C73" s="119"/>
      <c r="D73" s="113" t="s">
        <v>291</v>
      </c>
      <c r="E73" s="114">
        <f>SUM(F73:J73)</f>
        <v>3013408</v>
      </c>
      <c r="F73" s="115">
        <v>2557126</v>
      </c>
      <c r="G73" s="115">
        <f>76295+170035+66456</f>
        <v>312786</v>
      </c>
      <c r="H73" s="115"/>
      <c r="I73" s="115"/>
      <c r="J73" s="115">
        <v>143496</v>
      </c>
      <c r="K73" s="115">
        <f>SUM(K74:K76)</f>
        <v>1079199</v>
      </c>
      <c r="L73" s="115">
        <f>SUM(L74:L76)</f>
        <v>1079199</v>
      </c>
      <c r="M73" s="116"/>
      <c r="N73" s="117"/>
      <c r="O73" s="118">
        <f>P73*E73/100</f>
        <v>3013408</v>
      </c>
      <c r="P73" s="179">
        <v>100</v>
      </c>
      <c r="Q73" s="120">
        <f>SUM(R73:T73)</f>
        <v>1535481</v>
      </c>
      <c r="R73" s="180">
        <v>1535481</v>
      </c>
      <c r="S73" s="181"/>
      <c r="T73" s="121"/>
      <c r="U73" s="121">
        <v>1264455</v>
      </c>
      <c r="V73" s="122">
        <f>U73/Q73*100</f>
        <v>82.349114056116619</v>
      </c>
      <c r="W73" s="121">
        <f>U73</f>
        <v>1264455</v>
      </c>
      <c r="X73" s="119" t="s">
        <v>286</v>
      </c>
      <c r="Y73" s="124"/>
      <c r="Z73" s="126" t="s">
        <v>290</v>
      </c>
      <c r="AA73" s="126"/>
      <c r="AD73" s="455"/>
      <c r="AE73" s="455"/>
    </row>
    <row r="74" spans="1:31" s="216" customFormat="1" ht="89.25">
      <c r="A74" s="202"/>
      <c r="B74" s="203" t="s">
        <v>298</v>
      </c>
      <c r="C74" s="204" t="s">
        <v>57</v>
      </c>
      <c r="D74" s="205"/>
      <c r="E74" s="206"/>
      <c r="F74" s="207"/>
      <c r="G74" s="207"/>
      <c r="H74" s="207"/>
      <c r="I74" s="207"/>
      <c r="J74" s="207"/>
      <c r="K74" s="207">
        <v>391331</v>
      </c>
      <c r="L74" s="207">
        <f>K74</f>
        <v>391331</v>
      </c>
      <c r="M74" s="208" t="s">
        <v>84</v>
      </c>
      <c r="N74" s="208" t="s">
        <v>299</v>
      </c>
      <c r="O74" s="118">
        <f>P74*E74/100</f>
        <v>0</v>
      </c>
      <c r="P74" s="209">
        <v>100</v>
      </c>
      <c r="Q74" s="210"/>
      <c r="R74" s="211"/>
      <c r="S74" s="212"/>
      <c r="T74" s="213"/>
      <c r="U74" s="213"/>
      <c r="V74" s="122"/>
      <c r="W74" s="213"/>
      <c r="X74" s="204" t="s">
        <v>286</v>
      </c>
      <c r="Y74" s="214"/>
      <c r="Z74" s="215"/>
      <c r="AA74" s="215"/>
      <c r="AD74" s="456"/>
      <c r="AE74" s="456"/>
    </row>
    <row r="75" spans="1:31" s="216" customFormat="1" ht="89.25">
      <c r="A75" s="202"/>
      <c r="B75" s="203" t="s">
        <v>292</v>
      </c>
      <c r="C75" s="204" t="s">
        <v>52</v>
      </c>
      <c r="D75" s="205"/>
      <c r="E75" s="206"/>
      <c r="F75" s="207"/>
      <c r="G75" s="207"/>
      <c r="H75" s="207"/>
      <c r="I75" s="207"/>
      <c r="J75" s="207"/>
      <c r="K75" s="207">
        <v>296510</v>
      </c>
      <c r="L75" s="207">
        <f>K75</f>
        <v>296510</v>
      </c>
      <c r="M75" s="208" t="s">
        <v>293</v>
      </c>
      <c r="N75" s="208" t="s">
        <v>294</v>
      </c>
      <c r="O75" s="118">
        <f>P75*E75/100</f>
        <v>0</v>
      </c>
      <c r="P75" s="209">
        <v>100</v>
      </c>
      <c r="Q75" s="210"/>
      <c r="R75" s="211"/>
      <c r="S75" s="212"/>
      <c r="T75" s="213"/>
      <c r="U75" s="213"/>
      <c r="V75" s="122"/>
      <c r="W75" s="213"/>
      <c r="X75" s="204" t="s">
        <v>286</v>
      </c>
      <c r="Y75" s="214"/>
      <c r="Z75" s="215"/>
      <c r="AA75" s="215"/>
      <c r="AD75" s="456"/>
      <c r="AE75" s="456"/>
    </row>
    <row r="76" spans="1:31" s="216" customFormat="1" ht="89.25">
      <c r="A76" s="202"/>
      <c r="B76" s="203" t="s">
        <v>295</v>
      </c>
      <c r="C76" s="204" t="s">
        <v>50</v>
      </c>
      <c r="D76" s="205"/>
      <c r="E76" s="206"/>
      <c r="F76" s="207"/>
      <c r="G76" s="207"/>
      <c r="H76" s="207"/>
      <c r="I76" s="207"/>
      <c r="J76" s="207"/>
      <c r="K76" s="207">
        <v>391358</v>
      </c>
      <c r="L76" s="207">
        <f>K76</f>
        <v>391358</v>
      </c>
      <c r="M76" s="208" t="s">
        <v>297</v>
      </c>
      <c r="N76" s="208" t="s">
        <v>296</v>
      </c>
      <c r="O76" s="118">
        <f>P76*E76/100</f>
        <v>0</v>
      </c>
      <c r="P76" s="209">
        <v>100</v>
      </c>
      <c r="Q76" s="210"/>
      <c r="R76" s="211"/>
      <c r="S76" s="212"/>
      <c r="T76" s="213"/>
      <c r="U76" s="213"/>
      <c r="V76" s="122"/>
      <c r="W76" s="213"/>
      <c r="X76" s="204" t="s">
        <v>286</v>
      </c>
      <c r="Y76" s="214"/>
      <c r="Z76" s="215"/>
      <c r="AA76" s="215"/>
      <c r="AD76" s="456"/>
      <c r="AE76" s="456"/>
    </row>
    <row r="77" spans="1:31" s="7" customFormat="1" ht="47.25" customHeight="1">
      <c r="A77" s="2" t="s">
        <v>418</v>
      </c>
      <c r="B77" s="67" t="s">
        <v>516</v>
      </c>
      <c r="C77" s="39"/>
      <c r="D77" s="3"/>
      <c r="E77" s="146">
        <f>SUM(E78:E79)</f>
        <v>5101242</v>
      </c>
      <c r="F77" s="146">
        <f t="shared" ref="F77:L77" si="32">SUM(F78:F79)</f>
        <v>4083751</v>
      </c>
      <c r="G77" s="146">
        <f t="shared" si="32"/>
        <v>598668</v>
      </c>
      <c r="H77" s="146">
        <f t="shared" si="32"/>
        <v>175800</v>
      </c>
      <c r="I77" s="146">
        <f t="shared" si="32"/>
        <v>0</v>
      </c>
      <c r="J77" s="146">
        <f t="shared" si="32"/>
        <v>243023</v>
      </c>
      <c r="K77" s="146">
        <f t="shared" si="32"/>
        <v>4083751</v>
      </c>
      <c r="L77" s="146">
        <f t="shared" si="32"/>
        <v>485215</v>
      </c>
      <c r="M77" s="3"/>
      <c r="N77" s="183"/>
      <c r="O77" s="146">
        <f>SUM(O78:O79)</f>
        <v>29867.8</v>
      </c>
      <c r="P77" s="65"/>
      <c r="Q77" s="146">
        <f>SUM(Q78:Q79)</f>
        <v>2300000</v>
      </c>
      <c r="R77" s="146">
        <f>SUM(R78:R79)</f>
        <v>2300000</v>
      </c>
      <c r="S77" s="146">
        <f>SUM(S78:S79)</f>
        <v>0</v>
      </c>
      <c r="T77" s="146">
        <f>SUM(T78:T79)</f>
        <v>0</v>
      </c>
      <c r="U77" s="146">
        <f>SUM(U78:U79)</f>
        <v>14477</v>
      </c>
      <c r="V77" s="94">
        <f>U77/Q77*100</f>
        <v>0.62943478260869568</v>
      </c>
      <c r="W77" s="146">
        <f>SUM(W78:W79)</f>
        <v>14477</v>
      </c>
      <c r="X77" s="445"/>
      <c r="Y77" s="41"/>
      <c r="Z77" s="138"/>
      <c r="AD77" s="79"/>
      <c r="AE77" s="79"/>
    </row>
    <row r="78" spans="1:31" s="173" customFormat="1" ht="91.5" customHeight="1">
      <c r="A78" s="160">
        <v>26</v>
      </c>
      <c r="B78" s="446" t="s">
        <v>517</v>
      </c>
      <c r="C78" s="160" t="s">
        <v>52</v>
      </c>
      <c r="D78" s="113" t="s">
        <v>519</v>
      </c>
      <c r="E78" s="114">
        <f>SUM(F78:J78)</f>
        <v>597356</v>
      </c>
      <c r="F78" s="115">
        <v>485215</v>
      </c>
      <c r="G78" s="115">
        <f>14477+53878+15234</f>
        <v>83589</v>
      </c>
      <c r="H78" s="115"/>
      <c r="I78" s="115"/>
      <c r="J78" s="115">
        <v>28552</v>
      </c>
      <c r="K78" s="115">
        <f>F78</f>
        <v>485215</v>
      </c>
      <c r="L78" s="115">
        <v>485215</v>
      </c>
      <c r="M78" s="116" t="s">
        <v>544</v>
      </c>
      <c r="N78" s="116" t="s">
        <v>543</v>
      </c>
      <c r="O78" s="118">
        <f>P78*E78/100</f>
        <v>29867.8</v>
      </c>
      <c r="P78" s="179">
        <v>5</v>
      </c>
      <c r="Q78" s="120">
        <f>SUM(R78:T78)</f>
        <v>554457</v>
      </c>
      <c r="R78" s="170">
        <v>554457</v>
      </c>
      <c r="S78" s="169"/>
      <c r="T78" s="170"/>
      <c r="U78" s="170">
        <v>14477</v>
      </c>
      <c r="V78" s="122">
        <f>U78/Q78*100</f>
        <v>2.6110230369532714</v>
      </c>
      <c r="W78" s="121">
        <f>U78</f>
        <v>14477</v>
      </c>
      <c r="X78" s="379" t="s">
        <v>563</v>
      </c>
      <c r="Y78" s="172"/>
      <c r="Z78" s="447" t="s">
        <v>521</v>
      </c>
      <c r="AD78" s="453"/>
      <c r="AE78" s="453"/>
    </row>
    <row r="79" spans="1:31" s="173" customFormat="1" ht="59.25" customHeight="1">
      <c r="A79" s="160">
        <v>27</v>
      </c>
      <c r="B79" s="446" t="s">
        <v>518</v>
      </c>
      <c r="C79" s="160" t="s">
        <v>55</v>
      </c>
      <c r="D79" s="113" t="s">
        <v>520</v>
      </c>
      <c r="E79" s="114">
        <f>SUM(F79:J79)</f>
        <v>4503886</v>
      </c>
      <c r="F79" s="115">
        <v>3598536</v>
      </c>
      <c r="G79" s="115">
        <f>107367+313848+93864</f>
        <v>515079</v>
      </c>
      <c r="H79" s="115">
        <v>175800</v>
      </c>
      <c r="I79" s="115"/>
      <c r="J79" s="115">
        <v>214471</v>
      </c>
      <c r="K79" s="115">
        <f>F79</f>
        <v>3598536</v>
      </c>
      <c r="L79" s="115"/>
      <c r="M79" s="116"/>
      <c r="N79" s="117"/>
      <c r="O79" s="118">
        <f>P79*E79/100</f>
        <v>0</v>
      </c>
      <c r="P79" s="179"/>
      <c r="Q79" s="120">
        <f>SUM(R79:T79)</f>
        <v>1745543</v>
      </c>
      <c r="R79" s="170">
        <v>1745543</v>
      </c>
      <c r="S79" s="169"/>
      <c r="T79" s="170"/>
      <c r="U79" s="170"/>
      <c r="V79" s="122">
        <f>U79/Q79*100</f>
        <v>0</v>
      </c>
      <c r="W79" s="121">
        <f>U79</f>
        <v>0</v>
      </c>
      <c r="X79" s="379" t="s">
        <v>561</v>
      </c>
      <c r="Y79" s="172"/>
      <c r="Z79" s="447" t="s">
        <v>521</v>
      </c>
      <c r="AD79" s="453"/>
      <c r="AE79" s="453"/>
    </row>
    <row r="80" spans="1:31" s="69" customFormat="1" ht="25.5">
      <c r="A80" s="2" t="s">
        <v>10</v>
      </c>
      <c r="B80" s="67" t="s">
        <v>79</v>
      </c>
      <c r="C80" s="68"/>
      <c r="D80" s="68"/>
      <c r="E80" s="44">
        <f>E81+E95+E100+E107+E123+E128+E136</f>
        <v>64270176</v>
      </c>
      <c r="F80" s="44">
        <f t="shared" ref="F80:L80" si="33">F81+F95+F100+F107+F123+F128+F136</f>
        <v>51493835</v>
      </c>
      <c r="G80" s="44">
        <f t="shared" si="33"/>
        <v>8174363</v>
      </c>
      <c r="H80" s="44">
        <f t="shared" si="33"/>
        <v>1263245</v>
      </c>
      <c r="I80" s="44">
        <f t="shared" si="33"/>
        <v>348062</v>
      </c>
      <c r="J80" s="44">
        <f t="shared" si="33"/>
        <v>2990671</v>
      </c>
      <c r="K80" s="44">
        <f t="shared" si="33"/>
        <v>51493835</v>
      </c>
      <c r="L80" s="44">
        <f t="shared" si="33"/>
        <v>13915881.600000001</v>
      </c>
      <c r="M80" s="65"/>
      <c r="N80" s="68"/>
      <c r="O80" s="44">
        <f>O81+O95+O100+O107+O123+O128+O136</f>
        <v>8649454.4499999993</v>
      </c>
      <c r="P80" s="65"/>
      <c r="Q80" s="44">
        <f>Q81+Q95+Q100+Q107+Q123+Q128+Q136</f>
        <v>58492181</v>
      </c>
      <c r="R80" s="44">
        <f>R81+R95+R100+R107+R123+R128+R136</f>
        <v>58492181</v>
      </c>
      <c r="S80" s="44">
        <f>S81+S95+S100+S107+S123+S128+S136</f>
        <v>0</v>
      </c>
      <c r="T80" s="44">
        <f>T81+T95+T100+T107+T123+T128+T136</f>
        <v>0</v>
      </c>
      <c r="U80" s="44">
        <f>U81+U95+U100+U107+U123+U128+U136</f>
        <v>7794102</v>
      </c>
      <c r="V80" s="97">
        <f>U80/Q80*100</f>
        <v>13.325032280810319</v>
      </c>
      <c r="W80" s="44">
        <f>W81+W95+W100+W107+W123+W128+W136</f>
        <v>7794102</v>
      </c>
      <c r="X80" s="65"/>
      <c r="Y80" s="41"/>
      <c r="AD80" s="159"/>
      <c r="AE80" s="159"/>
    </row>
    <row r="81" spans="1:31" s="69" customFormat="1">
      <c r="A81" s="2" t="s">
        <v>39</v>
      </c>
      <c r="B81" s="67" t="s">
        <v>173</v>
      </c>
      <c r="C81" s="68"/>
      <c r="D81" s="68"/>
      <c r="E81" s="44">
        <f>SUM(E82:E94)</f>
        <v>13384241</v>
      </c>
      <c r="F81" s="44">
        <f t="shared" ref="F81:L81" si="34">SUM(F82:F94)</f>
        <v>10148611</v>
      </c>
      <c r="G81" s="44">
        <f t="shared" si="34"/>
        <v>1618993</v>
      </c>
      <c r="H81" s="44">
        <f t="shared" si="34"/>
        <v>1013245</v>
      </c>
      <c r="I81" s="44">
        <f t="shared" si="34"/>
        <v>0</v>
      </c>
      <c r="J81" s="44">
        <f t="shared" si="34"/>
        <v>603392</v>
      </c>
      <c r="K81" s="44">
        <f t="shared" si="34"/>
        <v>10148611</v>
      </c>
      <c r="L81" s="44">
        <f t="shared" si="34"/>
        <v>3132045</v>
      </c>
      <c r="M81" s="65"/>
      <c r="N81" s="68"/>
      <c r="O81" s="44">
        <f>SUM(O82:O94)</f>
        <v>3106968.25</v>
      </c>
      <c r="P81" s="65"/>
      <c r="Q81" s="44">
        <f>SUM(Q82:Q94)</f>
        <v>14462000</v>
      </c>
      <c r="R81" s="44">
        <f>SUM(R82:R94)</f>
        <v>14462000</v>
      </c>
      <c r="S81" s="44">
        <f>SUM(S82:S94)</f>
        <v>0</v>
      </c>
      <c r="T81" s="44">
        <f>SUM(T82:T94)</f>
        <v>0</v>
      </c>
      <c r="U81" s="44">
        <f>SUM(U82:U94)</f>
        <v>2276404</v>
      </c>
      <c r="V81" s="97">
        <f>U81/Q81*100</f>
        <v>15.740589130134145</v>
      </c>
      <c r="W81" s="44">
        <f>SUM(W82:W94)</f>
        <v>2276404</v>
      </c>
      <c r="X81" s="65"/>
      <c r="Y81" s="41"/>
      <c r="AD81" s="159"/>
      <c r="AE81" s="159"/>
    </row>
    <row r="82" spans="1:31" s="50" customFormat="1" ht="89.25">
      <c r="A82" s="64">
        <v>28</v>
      </c>
      <c r="B82" s="185" t="s">
        <v>174</v>
      </c>
      <c r="C82" s="64" t="s">
        <v>58</v>
      </c>
      <c r="D82" s="186" t="s">
        <v>275</v>
      </c>
      <c r="E82" s="201">
        <f t="shared" ref="E82:E94" si="35">SUM(F82:J82)</f>
        <v>357913</v>
      </c>
      <c r="F82" s="187">
        <v>299885</v>
      </c>
      <c r="G82" s="187">
        <f>8947+25008+6978</f>
        <v>40933</v>
      </c>
      <c r="H82" s="187"/>
      <c r="I82" s="187"/>
      <c r="J82" s="187">
        <v>17095</v>
      </c>
      <c r="K82" s="12">
        <f t="shared" ref="K82:K94" si="36">F82</f>
        <v>299885</v>
      </c>
      <c r="L82" s="187">
        <f>K82</f>
        <v>299885</v>
      </c>
      <c r="M82" s="13" t="s">
        <v>488</v>
      </c>
      <c r="N82" s="13" t="s">
        <v>487</v>
      </c>
      <c r="O82" s="26">
        <f t="shared" ref="O82:O94" si="37">P82*E82/100</f>
        <v>304226.05</v>
      </c>
      <c r="P82" s="98">
        <v>85</v>
      </c>
      <c r="Q82" s="188">
        <f>SUM(R82:T82)</f>
        <v>311000</v>
      </c>
      <c r="R82" s="189">
        <v>311000</v>
      </c>
      <c r="S82" s="47"/>
      <c r="T82" s="189"/>
      <c r="U82" s="189">
        <v>127104</v>
      </c>
      <c r="V82" s="190">
        <f t="shared" ref="V82:V95" si="38">U82/Q82*100</f>
        <v>40.86945337620579</v>
      </c>
      <c r="W82" s="189">
        <f>U82</f>
        <v>127104</v>
      </c>
      <c r="X82" s="64" t="s">
        <v>640</v>
      </c>
      <c r="Y82" s="191"/>
      <c r="Z82" s="192" t="s">
        <v>215</v>
      </c>
      <c r="AD82" s="83"/>
      <c r="AE82" s="83"/>
    </row>
    <row r="83" spans="1:31" s="50" customFormat="1" ht="89.25">
      <c r="A83" s="51">
        <v>29</v>
      </c>
      <c r="B83" s="52" t="s">
        <v>175</v>
      </c>
      <c r="C83" s="51" t="s">
        <v>53</v>
      </c>
      <c r="D83" s="3" t="s">
        <v>276</v>
      </c>
      <c r="E83" s="11">
        <f t="shared" si="35"/>
        <v>738335</v>
      </c>
      <c r="F83" s="12">
        <v>614278</v>
      </c>
      <c r="G83" s="12">
        <f>18328+53167+17275</f>
        <v>88770</v>
      </c>
      <c r="H83" s="12"/>
      <c r="I83" s="12"/>
      <c r="J83" s="12">
        <v>35287</v>
      </c>
      <c r="K83" s="12">
        <f t="shared" si="36"/>
        <v>614278</v>
      </c>
      <c r="L83" s="12">
        <v>583564</v>
      </c>
      <c r="M83" s="13" t="s">
        <v>297</v>
      </c>
      <c r="N83" s="13" t="s">
        <v>370</v>
      </c>
      <c r="O83" s="26">
        <f t="shared" si="37"/>
        <v>664501.5</v>
      </c>
      <c r="P83" s="65">
        <v>90</v>
      </c>
      <c r="Q83" s="24">
        <f t="shared" ref="Q83:Q94" si="39">SUM(R83:T83)</f>
        <v>812000</v>
      </c>
      <c r="R83" s="54">
        <v>812000</v>
      </c>
      <c r="S83" s="47"/>
      <c r="T83" s="54"/>
      <c r="U83" s="54">
        <v>253978</v>
      </c>
      <c r="V83" s="36">
        <f t="shared" si="38"/>
        <v>31.278078817733991</v>
      </c>
      <c r="W83" s="189">
        <f t="shared" ref="W83:W94" si="40">U83</f>
        <v>253978</v>
      </c>
      <c r="X83" s="64" t="s">
        <v>373</v>
      </c>
      <c r="Y83" s="49"/>
      <c r="Z83" s="96" t="s">
        <v>215</v>
      </c>
      <c r="AD83" s="83"/>
      <c r="AE83" s="83"/>
    </row>
    <row r="84" spans="1:31" s="50" customFormat="1" ht="89.25">
      <c r="A84" s="64">
        <v>30</v>
      </c>
      <c r="B84" s="52" t="s">
        <v>176</v>
      </c>
      <c r="C84" s="51" t="s">
        <v>55</v>
      </c>
      <c r="D84" s="3" t="s">
        <v>274</v>
      </c>
      <c r="E84" s="11">
        <f t="shared" si="35"/>
        <v>238389</v>
      </c>
      <c r="F84" s="12">
        <v>197171</v>
      </c>
      <c r="G84" s="12">
        <f>5883+18635+5315</f>
        <v>29833</v>
      </c>
      <c r="H84" s="12"/>
      <c r="I84" s="12"/>
      <c r="J84" s="12">
        <v>11385</v>
      </c>
      <c r="K84" s="12">
        <f t="shared" si="36"/>
        <v>197171</v>
      </c>
      <c r="L84" s="12">
        <f>K84</f>
        <v>197171</v>
      </c>
      <c r="M84" s="13" t="s">
        <v>84</v>
      </c>
      <c r="N84" s="13" t="s">
        <v>369</v>
      </c>
      <c r="O84" s="26">
        <f t="shared" si="37"/>
        <v>238389</v>
      </c>
      <c r="P84" s="65">
        <v>100</v>
      </c>
      <c r="Q84" s="24">
        <f t="shared" si="39"/>
        <v>238000</v>
      </c>
      <c r="R84" s="54">
        <v>238000</v>
      </c>
      <c r="S84" s="47"/>
      <c r="T84" s="54"/>
      <c r="U84" s="54">
        <v>219688</v>
      </c>
      <c r="V84" s="36">
        <f t="shared" si="38"/>
        <v>92.305882352941168</v>
      </c>
      <c r="W84" s="189">
        <f t="shared" si="40"/>
        <v>219688</v>
      </c>
      <c r="X84" s="64" t="s">
        <v>286</v>
      </c>
      <c r="Y84" s="49"/>
      <c r="Z84" s="96" t="s">
        <v>215</v>
      </c>
      <c r="AD84" s="83"/>
      <c r="AE84" s="83"/>
    </row>
    <row r="85" spans="1:31" s="50" customFormat="1" ht="89.25">
      <c r="A85" s="51">
        <v>31</v>
      </c>
      <c r="B85" s="52" t="s">
        <v>177</v>
      </c>
      <c r="C85" s="51" t="s">
        <v>51</v>
      </c>
      <c r="D85" s="3" t="s">
        <v>277</v>
      </c>
      <c r="E85" s="11">
        <f t="shared" si="35"/>
        <v>269146</v>
      </c>
      <c r="F85" s="12">
        <v>223602</v>
      </c>
      <c r="G85" s="12">
        <f>6671+20275+5743</f>
        <v>32689</v>
      </c>
      <c r="H85" s="12"/>
      <c r="I85" s="12"/>
      <c r="J85" s="12">
        <v>12855</v>
      </c>
      <c r="K85" s="12">
        <f t="shared" si="36"/>
        <v>223602</v>
      </c>
      <c r="L85" s="12">
        <f>K85</f>
        <v>223602</v>
      </c>
      <c r="M85" s="13" t="s">
        <v>312</v>
      </c>
      <c r="N85" s="13" t="s">
        <v>311</v>
      </c>
      <c r="O85" s="26">
        <f t="shared" si="37"/>
        <v>269146</v>
      </c>
      <c r="P85" s="65">
        <v>100</v>
      </c>
      <c r="Q85" s="24">
        <f t="shared" si="39"/>
        <v>469000</v>
      </c>
      <c r="R85" s="54">
        <v>469000</v>
      </c>
      <c r="S85" s="47"/>
      <c r="T85" s="54"/>
      <c r="U85" s="54">
        <f>97600+143602+7345</f>
        <v>248547</v>
      </c>
      <c r="V85" s="36">
        <f t="shared" si="38"/>
        <v>52.995095948827284</v>
      </c>
      <c r="W85" s="189">
        <f t="shared" si="40"/>
        <v>248547</v>
      </c>
      <c r="X85" s="64" t="s">
        <v>286</v>
      </c>
      <c r="Y85" s="49"/>
      <c r="Z85" s="96" t="s">
        <v>215</v>
      </c>
      <c r="AD85" s="83"/>
      <c r="AE85" s="83"/>
    </row>
    <row r="86" spans="1:31" s="50" customFormat="1" ht="76.5">
      <c r="A86" s="64">
        <v>32</v>
      </c>
      <c r="B86" s="52" t="s">
        <v>178</v>
      </c>
      <c r="C86" s="51" t="s">
        <v>58</v>
      </c>
      <c r="D86" s="3" t="s">
        <v>272</v>
      </c>
      <c r="E86" s="11">
        <f t="shared" si="35"/>
        <v>412398</v>
      </c>
      <c r="F86" s="12">
        <v>348941</v>
      </c>
      <c r="G86" s="12">
        <f>10411+25613+7736</f>
        <v>43760</v>
      </c>
      <c r="H86" s="12"/>
      <c r="I86" s="12"/>
      <c r="J86" s="12">
        <v>19697</v>
      </c>
      <c r="K86" s="12">
        <f t="shared" si="36"/>
        <v>348941</v>
      </c>
      <c r="L86" s="12"/>
      <c r="M86" s="13"/>
      <c r="N86" s="14"/>
      <c r="O86" s="26">
        <f t="shared" si="37"/>
        <v>0</v>
      </c>
      <c r="P86" s="65"/>
      <c r="Q86" s="24">
        <f t="shared" si="39"/>
        <v>435000</v>
      </c>
      <c r="R86" s="54">
        <v>435000</v>
      </c>
      <c r="S86" s="47"/>
      <c r="T86" s="54"/>
      <c r="U86" s="54">
        <v>23679</v>
      </c>
      <c r="V86" s="36">
        <f t="shared" si="38"/>
        <v>5.4434482758620684</v>
      </c>
      <c r="W86" s="189">
        <f t="shared" si="40"/>
        <v>23679</v>
      </c>
      <c r="X86" s="64" t="s">
        <v>641</v>
      </c>
      <c r="Y86" s="49"/>
      <c r="Z86" s="96" t="s">
        <v>215</v>
      </c>
      <c r="AD86" s="83"/>
      <c r="AE86" s="83"/>
    </row>
    <row r="87" spans="1:31" s="50" customFormat="1" ht="89.25">
      <c r="A87" s="51">
        <v>33</v>
      </c>
      <c r="B87" s="52" t="s">
        <v>179</v>
      </c>
      <c r="C87" s="51" t="s">
        <v>57</v>
      </c>
      <c r="D87" s="3" t="s">
        <v>269</v>
      </c>
      <c r="E87" s="11">
        <f t="shared" si="35"/>
        <v>296417</v>
      </c>
      <c r="F87" s="12">
        <v>247038</v>
      </c>
      <c r="G87" s="12">
        <f>7371+21729+6122</f>
        <v>35222</v>
      </c>
      <c r="H87" s="12"/>
      <c r="I87" s="12"/>
      <c r="J87" s="12">
        <v>14157</v>
      </c>
      <c r="K87" s="12">
        <f t="shared" si="36"/>
        <v>247038</v>
      </c>
      <c r="L87" s="12">
        <f>K87</f>
        <v>247038</v>
      </c>
      <c r="M87" s="13" t="s">
        <v>297</v>
      </c>
      <c r="N87" s="13" t="s">
        <v>374</v>
      </c>
      <c r="O87" s="26">
        <f t="shared" si="37"/>
        <v>296417</v>
      </c>
      <c r="P87" s="65">
        <v>100</v>
      </c>
      <c r="Q87" s="24">
        <f t="shared" si="39"/>
        <v>371000</v>
      </c>
      <c r="R87" s="54">
        <v>371000</v>
      </c>
      <c r="S87" s="47"/>
      <c r="T87" s="54"/>
      <c r="U87" s="54">
        <v>108985</v>
      </c>
      <c r="V87" s="36">
        <f t="shared" si="38"/>
        <v>29.376010781671159</v>
      </c>
      <c r="W87" s="189">
        <f t="shared" si="40"/>
        <v>108985</v>
      </c>
      <c r="X87" s="64" t="s">
        <v>286</v>
      </c>
      <c r="Y87" s="49"/>
      <c r="Z87" s="96" t="s">
        <v>215</v>
      </c>
      <c r="AD87" s="83"/>
      <c r="AE87" s="83"/>
    </row>
    <row r="88" spans="1:31" s="200" customFormat="1" ht="89.25">
      <c r="A88" s="64">
        <v>34</v>
      </c>
      <c r="B88" s="52" t="s">
        <v>180</v>
      </c>
      <c r="C88" s="51" t="s">
        <v>55</v>
      </c>
      <c r="D88" s="3" t="s">
        <v>271</v>
      </c>
      <c r="E88" s="193">
        <f t="shared" si="35"/>
        <v>960529</v>
      </c>
      <c r="F88" s="194">
        <v>786825</v>
      </c>
      <c r="G88" s="194">
        <f>23476+83391+20937</f>
        <v>127804</v>
      </c>
      <c r="H88" s="194"/>
      <c r="I88" s="194"/>
      <c r="J88" s="194">
        <v>45900</v>
      </c>
      <c r="K88" s="12">
        <f t="shared" si="36"/>
        <v>786825</v>
      </c>
      <c r="L88" s="194">
        <v>747484</v>
      </c>
      <c r="M88" s="13" t="s">
        <v>84</v>
      </c>
      <c r="N88" s="13" t="s">
        <v>371</v>
      </c>
      <c r="O88" s="26">
        <f t="shared" si="37"/>
        <v>288158.7</v>
      </c>
      <c r="P88" s="195">
        <v>30</v>
      </c>
      <c r="Q88" s="196">
        <f t="shared" si="39"/>
        <v>979000</v>
      </c>
      <c r="R88" s="54">
        <v>979000</v>
      </c>
      <c r="S88" s="197"/>
      <c r="T88" s="54"/>
      <c r="U88" s="54">
        <v>344020</v>
      </c>
      <c r="V88" s="198">
        <f t="shared" si="38"/>
        <v>35.139938712972416</v>
      </c>
      <c r="W88" s="189">
        <f t="shared" si="40"/>
        <v>344020</v>
      </c>
      <c r="X88" s="64" t="s">
        <v>484</v>
      </c>
      <c r="Y88" s="49"/>
      <c r="Z88" s="199" t="s">
        <v>215</v>
      </c>
      <c r="AD88" s="457"/>
      <c r="AE88" s="457"/>
    </row>
    <row r="89" spans="1:31" s="50" customFormat="1" ht="89.25">
      <c r="A89" s="51">
        <v>35</v>
      </c>
      <c r="B89" s="185" t="s">
        <v>181</v>
      </c>
      <c r="C89" s="64" t="s">
        <v>52</v>
      </c>
      <c r="D89" s="186" t="s">
        <v>270</v>
      </c>
      <c r="E89" s="201">
        <f t="shared" si="35"/>
        <v>674948</v>
      </c>
      <c r="F89" s="187">
        <v>549707</v>
      </c>
      <c r="G89" s="187">
        <f>16401+60189+16393</f>
        <v>92983</v>
      </c>
      <c r="H89" s="187"/>
      <c r="I89" s="187"/>
      <c r="J89" s="187">
        <v>32258</v>
      </c>
      <c r="K89" s="12">
        <f t="shared" si="36"/>
        <v>549707</v>
      </c>
      <c r="L89" s="187">
        <v>522221</v>
      </c>
      <c r="M89" s="13" t="s">
        <v>82</v>
      </c>
      <c r="N89" s="13" t="s">
        <v>317</v>
      </c>
      <c r="O89" s="26">
        <f t="shared" si="37"/>
        <v>674948</v>
      </c>
      <c r="P89" s="98">
        <v>100</v>
      </c>
      <c r="Q89" s="188">
        <f t="shared" si="39"/>
        <v>830000</v>
      </c>
      <c r="R89" s="189">
        <v>830000</v>
      </c>
      <c r="S89" s="47"/>
      <c r="T89" s="189"/>
      <c r="U89" s="189">
        <f>241532+300666+10444+26111+18058</f>
        <v>596811</v>
      </c>
      <c r="V89" s="190">
        <f t="shared" si="38"/>
        <v>71.904939759036139</v>
      </c>
      <c r="W89" s="189">
        <f t="shared" si="40"/>
        <v>596811</v>
      </c>
      <c r="X89" s="64" t="s">
        <v>286</v>
      </c>
      <c r="Y89" s="191"/>
      <c r="Z89" s="192" t="s">
        <v>215</v>
      </c>
      <c r="AD89" s="83"/>
      <c r="AE89" s="83"/>
    </row>
    <row r="90" spans="1:31" s="50" customFormat="1" ht="89.25">
      <c r="A90" s="64">
        <v>36</v>
      </c>
      <c r="B90" s="52" t="s">
        <v>182</v>
      </c>
      <c r="C90" s="51" t="s">
        <v>55</v>
      </c>
      <c r="D90" s="3" t="s">
        <v>273</v>
      </c>
      <c r="E90" s="11">
        <f t="shared" si="35"/>
        <v>371182</v>
      </c>
      <c r="F90" s="12">
        <v>311080</v>
      </c>
      <c r="G90" s="12">
        <f>9281+25703+7389</f>
        <v>42373</v>
      </c>
      <c r="H90" s="12"/>
      <c r="I90" s="12"/>
      <c r="J90" s="12">
        <v>17729</v>
      </c>
      <c r="K90" s="12">
        <f t="shared" si="36"/>
        <v>311080</v>
      </c>
      <c r="L90" s="12">
        <f>K90</f>
        <v>311080</v>
      </c>
      <c r="M90" s="13" t="s">
        <v>267</v>
      </c>
      <c r="N90" s="13" t="s">
        <v>372</v>
      </c>
      <c r="O90" s="26">
        <f t="shared" si="37"/>
        <v>371182</v>
      </c>
      <c r="P90" s="65">
        <v>100</v>
      </c>
      <c r="Q90" s="24">
        <f t="shared" si="39"/>
        <v>524000</v>
      </c>
      <c r="R90" s="54">
        <v>524000</v>
      </c>
      <c r="S90" s="47"/>
      <c r="T90" s="54"/>
      <c r="U90" s="54">
        <v>132765</v>
      </c>
      <c r="V90" s="36">
        <f t="shared" si="38"/>
        <v>25.336832061068705</v>
      </c>
      <c r="W90" s="189">
        <f t="shared" si="40"/>
        <v>132765</v>
      </c>
      <c r="X90" s="64" t="s">
        <v>286</v>
      </c>
      <c r="Y90" s="49"/>
      <c r="Z90" s="96" t="s">
        <v>215</v>
      </c>
      <c r="AD90" s="83"/>
      <c r="AE90" s="83"/>
    </row>
    <row r="91" spans="1:31" s="50" customFormat="1" ht="25.5">
      <c r="A91" s="51">
        <v>37</v>
      </c>
      <c r="B91" s="52" t="s">
        <v>183</v>
      </c>
      <c r="C91" s="51" t="s">
        <v>56</v>
      </c>
      <c r="D91" s="3"/>
      <c r="E91" s="11">
        <f t="shared" si="35"/>
        <v>0</v>
      </c>
      <c r="F91" s="12"/>
      <c r="G91" s="12"/>
      <c r="H91" s="12"/>
      <c r="I91" s="12"/>
      <c r="J91" s="12"/>
      <c r="K91" s="12">
        <f t="shared" si="36"/>
        <v>0</v>
      </c>
      <c r="L91" s="12"/>
      <c r="M91" s="13"/>
      <c r="N91" s="14"/>
      <c r="O91" s="26">
        <f t="shared" si="37"/>
        <v>0</v>
      </c>
      <c r="P91" s="65"/>
      <c r="Q91" s="24">
        <f t="shared" si="39"/>
        <v>3462000</v>
      </c>
      <c r="R91" s="54">
        <v>3462000</v>
      </c>
      <c r="S91" s="47"/>
      <c r="T91" s="54"/>
      <c r="U91" s="54"/>
      <c r="V91" s="36">
        <f t="shared" si="38"/>
        <v>0</v>
      </c>
      <c r="W91" s="189">
        <f t="shared" si="40"/>
        <v>0</v>
      </c>
      <c r="X91" s="51" t="s">
        <v>637</v>
      </c>
      <c r="Y91" s="49"/>
      <c r="Z91" s="96" t="s">
        <v>215</v>
      </c>
      <c r="AD91" s="83"/>
      <c r="AE91" s="83"/>
    </row>
    <row r="92" spans="1:31" s="50" customFormat="1" ht="51">
      <c r="A92" s="64">
        <v>38</v>
      </c>
      <c r="B92" s="52" t="s">
        <v>184</v>
      </c>
      <c r="C92" s="51" t="s">
        <v>58</v>
      </c>
      <c r="D92" s="3" t="s">
        <v>309</v>
      </c>
      <c r="E92" s="11">
        <f t="shared" si="35"/>
        <v>3052274</v>
      </c>
      <c r="F92" s="12">
        <v>1852310</v>
      </c>
      <c r="G92" s="12">
        <f>77278+225538+48698</f>
        <v>351514</v>
      </c>
      <c r="H92" s="12">
        <v>737740</v>
      </c>
      <c r="I92" s="12"/>
      <c r="J92" s="12">
        <v>110710</v>
      </c>
      <c r="K92" s="12">
        <f t="shared" si="36"/>
        <v>1852310</v>
      </c>
      <c r="L92" s="12"/>
      <c r="M92" s="13"/>
      <c r="N92" s="14"/>
      <c r="O92" s="26">
        <f t="shared" si="37"/>
        <v>0</v>
      </c>
      <c r="P92" s="65"/>
      <c r="Q92" s="24">
        <f t="shared" si="39"/>
        <v>1895000</v>
      </c>
      <c r="R92" s="54">
        <v>1895000</v>
      </c>
      <c r="S92" s="47"/>
      <c r="T92" s="54"/>
      <c r="U92" s="54">
        <v>220827</v>
      </c>
      <c r="V92" s="36">
        <f t="shared" si="38"/>
        <v>11.653139841688654</v>
      </c>
      <c r="W92" s="189">
        <f t="shared" si="40"/>
        <v>220827</v>
      </c>
      <c r="X92" s="51" t="s">
        <v>468</v>
      </c>
      <c r="Y92" s="49"/>
      <c r="Z92" s="96" t="s">
        <v>215</v>
      </c>
      <c r="AD92" s="83"/>
      <c r="AE92" s="83"/>
    </row>
    <row r="93" spans="1:31" s="50" customFormat="1" ht="63.75">
      <c r="A93" s="51">
        <v>39</v>
      </c>
      <c r="B93" s="52" t="s">
        <v>185</v>
      </c>
      <c r="C93" s="51" t="s">
        <v>50</v>
      </c>
      <c r="D93" s="3" t="s">
        <v>529</v>
      </c>
      <c r="E93" s="11">
        <f t="shared" si="35"/>
        <v>6012710</v>
      </c>
      <c r="F93" s="12">
        <v>4717774</v>
      </c>
      <c r="G93" s="12">
        <f>146603+455840+130669</f>
        <v>733112</v>
      </c>
      <c r="H93" s="12">
        <v>275505</v>
      </c>
      <c r="I93" s="12"/>
      <c r="J93" s="12">
        <v>286319</v>
      </c>
      <c r="K93" s="12">
        <f t="shared" si="36"/>
        <v>4717774</v>
      </c>
      <c r="L93" s="12"/>
      <c r="M93" s="13"/>
      <c r="N93" s="14"/>
      <c r="O93" s="26">
        <f t="shared" si="37"/>
        <v>0</v>
      </c>
      <c r="P93" s="65"/>
      <c r="Q93" s="24">
        <f t="shared" si="39"/>
        <v>1912000</v>
      </c>
      <c r="R93" s="54">
        <v>1912000</v>
      </c>
      <c r="S93" s="47"/>
      <c r="T93" s="54"/>
      <c r="U93" s="54"/>
      <c r="V93" s="36">
        <f t="shared" si="38"/>
        <v>0</v>
      </c>
      <c r="W93" s="189">
        <f t="shared" si="40"/>
        <v>0</v>
      </c>
      <c r="X93" s="160" t="s">
        <v>603</v>
      </c>
      <c r="Y93" s="49"/>
      <c r="Z93" s="96" t="s">
        <v>215</v>
      </c>
      <c r="AD93" s="83"/>
      <c r="AE93" s="83"/>
    </row>
    <row r="94" spans="1:31" s="50" customFormat="1" ht="38.25">
      <c r="A94" s="64">
        <v>40</v>
      </c>
      <c r="B94" s="52" t="s">
        <v>186</v>
      </c>
      <c r="C94" s="51" t="s">
        <v>57</v>
      </c>
      <c r="D94" s="3"/>
      <c r="E94" s="11">
        <f t="shared" si="35"/>
        <v>0</v>
      </c>
      <c r="F94" s="12"/>
      <c r="G94" s="12"/>
      <c r="H94" s="12"/>
      <c r="I94" s="12"/>
      <c r="J94" s="12"/>
      <c r="K94" s="12">
        <f t="shared" si="36"/>
        <v>0</v>
      </c>
      <c r="L94" s="12"/>
      <c r="M94" s="13"/>
      <c r="N94" s="14"/>
      <c r="O94" s="26">
        <f t="shared" si="37"/>
        <v>0</v>
      </c>
      <c r="P94" s="65"/>
      <c r="Q94" s="24">
        <f t="shared" si="39"/>
        <v>2224000</v>
      </c>
      <c r="R94" s="54">
        <v>2224000</v>
      </c>
      <c r="S94" s="47"/>
      <c r="T94" s="54"/>
      <c r="U94" s="54"/>
      <c r="V94" s="36">
        <f t="shared" si="38"/>
        <v>0</v>
      </c>
      <c r="W94" s="189">
        <f t="shared" si="40"/>
        <v>0</v>
      </c>
      <c r="X94" s="160" t="s">
        <v>605</v>
      </c>
      <c r="Y94" s="49"/>
      <c r="Z94" s="96" t="s">
        <v>215</v>
      </c>
      <c r="AD94" s="83"/>
      <c r="AE94" s="83"/>
    </row>
    <row r="95" spans="1:31" s="29" customFormat="1">
      <c r="A95" s="2" t="s">
        <v>40</v>
      </c>
      <c r="B95" s="67" t="s">
        <v>187</v>
      </c>
      <c r="C95" s="1"/>
      <c r="D95" s="1"/>
      <c r="E95" s="1">
        <f>SUM(E96:E99)</f>
        <v>8360202</v>
      </c>
      <c r="F95" s="1">
        <f t="shared" ref="F95:L95" si="41">SUM(F96:F99)</f>
        <v>6784764</v>
      </c>
      <c r="G95" s="1">
        <f t="shared" si="41"/>
        <v>970333</v>
      </c>
      <c r="H95" s="1">
        <f t="shared" si="41"/>
        <v>0</v>
      </c>
      <c r="I95" s="1">
        <f t="shared" si="41"/>
        <v>217350</v>
      </c>
      <c r="J95" s="1">
        <f t="shared" si="41"/>
        <v>387755</v>
      </c>
      <c r="K95" s="1">
        <f t="shared" si="41"/>
        <v>6784764</v>
      </c>
      <c r="L95" s="1">
        <f t="shared" si="41"/>
        <v>1453661</v>
      </c>
      <c r="M95" s="2"/>
      <c r="N95" s="1"/>
      <c r="O95" s="1">
        <f>SUM(O96:O99)</f>
        <v>1137605.6000000001</v>
      </c>
      <c r="P95" s="34"/>
      <c r="Q95" s="1">
        <f>SUM(Q96:Q99)</f>
        <v>8399000</v>
      </c>
      <c r="R95" s="1">
        <f>SUM(R96:R99)</f>
        <v>8399000</v>
      </c>
      <c r="S95" s="1">
        <f>SUM(S96:S99)</f>
        <v>0</v>
      </c>
      <c r="T95" s="1">
        <f>SUM(T96:T99)</f>
        <v>0</v>
      </c>
      <c r="U95" s="1">
        <f>SUM(U96:U99)</f>
        <v>1026894</v>
      </c>
      <c r="V95" s="97">
        <f t="shared" si="38"/>
        <v>12.226384093344446</v>
      </c>
      <c r="W95" s="1">
        <f>SUM(W96:W99)</f>
        <v>1026894</v>
      </c>
      <c r="X95" s="34"/>
      <c r="Y95" s="74"/>
      <c r="AD95" s="80"/>
      <c r="AE95" s="80"/>
    </row>
    <row r="96" spans="1:31" s="50" customFormat="1" ht="89.25">
      <c r="A96" s="51">
        <v>41</v>
      </c>
      <c r="B96" s="52" t="s">
        <v>188</v>
      </c>
      <c r="C96" s="51" t="s">
        <v>58</v>
      </c>
      <c r="D96" s="3" t="s">
        <v>310</v>
      </c>
      <c r="E96" s="11">
        <f>SUM(F96:J96)</f>
        <v>663655</v>
      </c>
      <c r="F96" s="12">
        <v>464588</v>
      </c>
      <c r="G96" s="12">
        <f>12400+66911+14487</f>
        <v>93798</v>
      </c>
      <c r="H96" s="12"/>
      <c r="I96" s="12">
        <v>77350</v>
      </c>
      <c r="J96" s="12">
        <v>27919</v>
      </c>
      <c r="K96" s="12">
        <f>F96</f>
        <v>464588</v>
      </c>
      <c r="L96" s="12">
        <f>K96</f>
        <v>464588</v>
      </c>
      <c r="M96" s="13" t="s">
        <v>464</v>
      </c>
      <c r="N96" s="14" t="s">
        <v>463</v>
      </c>
      <c r="O96" s="26">
        <f>P96*E96/100</f>
        <v>0</v>
      </c>
      <c r="P96" s="65"/>
      <c r="Q96" s="24">
        <f>SUM(R96:T96)</f>
        <v>813000</v>
      </c>
      <c r="R96" s="54">
        <v>813000</v>
      </c>
      <c r="S96" s="47"/>
      <c r="T96" s="54"/>
      <c r="U96" s="54">
        <v>226925</v>
      </c>
      <c r="V96" s="36">
        <f>U96/Q96*100</f>
        <v>27.912054120541207</v>
      </c>
      <c r="W96" s="35">
        <f>U96</f>
        <v>226925</v>
      </c>
      <c r="X96" s="51" t="s">
        <v>465</v>
      </c>
      <c r="Y96" s="49"/>
      <c r="Z96" s="96" t="s">
        <v>215</v>
      </c>
      <c r="AD96" s="83"/>
      <c r="AE96" s="83"/>
    </row>
    <row r="97" spans="1:31" s="50" customFormat="1" ht="89.25">
      <c r="A97" s="51">
        <v>42</v>
      </c>
      <c r="B97" s="52" t="s">
        <v>189</v>
      </c>
      <c r="C97" s="51" t="s">
        <v>58</v>
      </c>
      <c r="D97" s="3" t="s">
        <v>278</v>
      </c>
      <c r="E97" s="11">
        <f>SUM(F97:J97)</f>
        <v>681282</v>
      </c>
      <c r="F97" s="12">
        <v>543244</v>
      </c>
      <c r="G97" s="12">
        <f>13645+75725+16226</f>
        <v>105596</v>
      </c>
      <c r="H97" s="12"/>
      <c r="I97" s="12"/>
      <c r="J97" s="12">
        <v>32442</v>
      </c>
      <c r="K97" s="12">
        <f>F97</f>
        <v>543244</v>
      </c>
      <c r="L97" s="12">
        <v>516082</v>
      </c>
      <c r="M97" s="13" t="s">
        <v>304</v>
      </c>
      <c r="N97" s="13" t="s">
        <v>303</v>
      </c>
      <c r="O97" s="26">
        <f>P97*E97/100</f>
        <v>545025.6</v>
      </c>
      <c r="P97" s="65">
        <v>80</v>
      </c>
      <c r="Q97" s="24">
        <f>SUM(R97:T97)</f>
        <v>1606000</v>
      </c>
      <c r="R97" s="54">
        <v>1606000</v>
      </c>
      <c r="S97" s="47"/>
      <c r="T97" s="54"/>
      <c r="U97" s="54">
        <v>257373</v>
      </c>
      <c r="V97" s="36">
        <f>U97/Q97*100</f>
        <v>16.025716064757162</v>
      </c>
      <c r="W97" s="35">
        <f>U97</f>
        <v>257373</v>
      </c>
      <c r="X97" s="51" t="s">
        <v>485</v>
      </c>
      <c r="Y97" s="49"/>
      <c r="Z97" s="96" t="s">
        <v>215</v>
      </c>
      <c r="AD97" s="83"/>
      <c r="AE97" s="83"/>
    </row>
    <row r="98" spans="1:31" s="50" customFormat="1" ht="89.25">
      <c r="A98" s="51">
        <v>43</v>
      </c>
      <c r="B98" s="52" t="s">
        <v>190</v>
      </c>
      <c r="C98" s="51" t="s">
        <v>58</v>
      </c>
      <c r="D98" s="3" t="s">
        <v>279</v>
      </c>
      <c r="E98" s="11">
        <f t="shared" ref="E98:E138" si="42">SUM(F98:J98)</f>
        <v>592580</v>
      </c>
      <c r="F98" s="12">
        <v>472991</v>
      </c>
      <c r="G98" s="12">
        <f>11881+65112+14378</f>
        <v>91371</v>
      </c>
      <c r="H98" s="12"/>
      <c r="I98" s="12"/>
      <c r="J98" s="12">
        <v>28218</v>
      </c>
      <c r="K98" s="12">
        <f>F98</f>
        <v>472991</v>
      </c>
      <c r="L98" s="12">
        <f>K98</f>
        <v>472991</v>
      </c>
      <c r="M98" s="13" t="s">
        <v>306</v>
      </c>
      <c r="N98" s="13" t="s">
        <v>305</v>
      </c>
      <c r="O98" s="26">
        <f>P98*E98/100</f>
        <v>592580</v>
      </c>
      <c r="P98" s="65">
        <v>100</v>
      </c>
      <c r="Q98" s="24">
        <f>SUM(R98:T98)</f>
        <v>872000</v>
      </c>
      <c r="R98" s="54">
        <v>872000</v>
      </c>
      <c r="S98" s="47"/>
      <c r="T98" s="54"/>
      <c r="U98" s="54">
        <v>542596</v>
      </c>
      <c r="V98" s="36">
        <f>U98/Q98*100</f>
        <v>62.224311926605502</v>
      </c>
      <c r="W98" s="35">
        <f>U98</f>
        <v>542596</v>
      </c>
      <c r="X98" s="51" t="s">
        <v>286</v>
      </c>
      <c r="Y98" s="49"/>
      <c r="Z98" s="96" t="s">
        <v>215</v>
      </c>
      <c r="AD98" s="83"/>
      <c r="AE98" s="83"/>
    </row>
    <row r="99" spans="1:31" s="50" customFormat="1" ht="51">
      <c r="A99" s="51">
        <v>44</v>
      </c>
      <c r="B99" s="52" t="s">
        <v>191</v>
      </c>
      <c r="C99" s="51" t="s">
        <v>53</v>
      </c>
      <c r="D99" s="3" t="s">
        <v>541</v>
      </c>
      <c r="E99" s="11">
        <f t="shared" si="42"/>
        <v>6422685</v>
      </c>
      <c r="F99" s="12">
        <v>5303941</v>
      </c>
      <c r="G99" s="12">
        <f>137206+400081+142281</f>
        <v>679568</v>
      </c>
      <c r="H99" s="12"/>
      <c r="I99" s="12">
        <v>140000</v>
      </c>
      <c r="J99" s="12">
        <v>299176</v>
      </c>
      <c r="K99" s="12">
        <f>F99</f>
        <v>5303941</v>
      </c>
      <c r="L99" s="12"/>
      <c r="M99" s="13"/>
      <c r="N99" s="14"/>
      <c r="O99" s="26">
        <f>P99*E99/100</f>
        <v>0</v>
      </c>
      <c r="P99" s="65"/>
      <c r="Q99" s="24">
        <f>SUM(R99:T99)</f>
        <v>5108000</v>
      </c>
      <c r="R99" s="54">
        <v>5108000</v>
      </c>
      <c r="S99" s="47"/>
      <c r="T99" s="54"/>
      <c r="U99" s="54"/>
      <c r="V99" s="36">
        <f>U99/Q99*100</f>
        <v>0</v>
      </c>
      <c r="W99" s="35"/>
      <c r="X99" s="64" t="s">
        <v>542</v>
      </c>
      <c r="Y99" s="49"/>
      <c r="Z99" s="96" t="s">
        <v>215</v>
      </c>
      <c r="AD99" s="83"/>
      <c r="AE99" s="83"/>
    </row>
    <row r="100" spans="1:31" s="72" customFormat="1" ht="42.75" customHeight="1">
      <c r="A100" s="2" t="s">
        <v>41</v>
      </c>
      <c r="B100" s="67" t="s">
        <v>300</v>
      </c>
      <c r="C100" s="44"/>
      <c r="D100" s="44"/>
      <c r="E100" s="44">
        <f t="shared" ref="E100:L100" si="43">SUM(E101:E106)</f>
        <v>11685324</v>
      </c>
      <c r="F100" s="44">
        <f t="shared" si="43"/>
        <v>9625884</v>
      </c>
      <c r="G100" s="44">
        <f t="shared" si="43"/>
        <v>1426127</v>
      </c>
      <c r="H100" s="44">
        <f t="shared" si="43"/>
        <v>0</v>
      </c>
      <c r="I100" s="44">
        <f t="shared" si="43"/>
        <v>80712</v>
      </c>
      <c r="J100" s="44">
        <f t="shared" si="43"/>
        <v>552601</v>
      </c>
      <c r="K100" s="44">
        <f t="shared" si="43"/>
        <v>9625884</v>
      </c>
      <c r="L100" s="44">
        <f t="shared" si="43"/>
        <v>8824482.6000000015</v>
      </c>
      <c r="M100" s="2"/>
      <c r="N100" s="44"/>
      <c r="O100" s="44">
        <f>SUM(O101:O106)</f>
        <v>4404880.6000000006</v>
      </c>
      <c r="P100" s="2"/>
      <c r="Q100" s="44">
        <f>SUM(Q101:Q106)</f>
        <v>11132000</v>
      </c>
      <c r="R100" s="44">
        <f>SUM(R101:R106)</f>
        <v>11132000</v>
      </c>
      <c r="S100" s="44">
        <f>SUM(S101:S106)</f>
        <v>0</v>
      </c>
      <c r="T100" s="44">
        <f>SUM(T101:T106)</f>
        <v>0</v>
      </c>
      <c r="U100" s="44">
        <f>SUM(U101:U106)</f>
        <v>4490804</v>
      </c>
      <c r="V100" s="97">
        <f>U100/Q100*100</f>
        <v>40.341394178943588</v>
      </c>
      <c r="W100" s="44">
        <f>SUM(W101:W106)</f>
        <v>4490804</v>
      </c>
      <c r="X100" s="2"/>
      <c r="Y100" s="95"/>
      <c r="AD100" s="150"/>
      <c r="AE100" s="150"/>
    </row>
    <row r="101" spans="1:31" s="50" customFormat="1" ht="89.25">
      <c r="A101" s="51">
        <v>45</v>
      </c>
      <c r="B101" s="52" t="s">
        <v>238</v>
      </c>
      <c r="C101" s="51" t="s">
        <v>58</v>
      </c>
      <c r="D101" s="3" t="s">
        <v>280</v>
      </c>
      <c r="E101" s="11">
        <f t="shared" si="42"/>
        <v>1878723</v>
      </c>
      <c r="F101" s="12">
        <v>1541385</v>
      </c>
      <c r="G101" s="12">
        <f>38717+169576+39582</f>
        <v>247875</v>
      </c>
      <c r="H101" s="12"/>
      <c r="I101" s="12"/>
      <c r="J101" s="12">
        <v>89463</v>
      </c>
      <c r="K101" s="12">
        <f t="shared" ref="K101:K106" si="44">F101</f>
        <v>1541385</v>
      </c>
      <c r="L101" s="12">
        <v>1319953</v>
      </c>
      <c r="M101" s="13" t="s">
        <v>159</v>
      </c>
      <c r="N101" s="14" t="s">
        <v>466</v>
      </c>
      <c r="O101" s="26">
        <f t="shared" ref="O101:O106" si="45">P101*E101/100</f>
        <v>356957.37</v>
      </c>
      <c r="P101" s="65">
        <v>19</v>
      </c>
      <c r="Q101" s="24">
        <f t="shared" ref="Q101:Q106" si="46">SUM(R101:T101)</f>
        <v>1789000</v>
      </c>
      <c r="R101" s="54">
        <v>1789000</v>
      </c>
      <c r="S101" s="47"/>
      <c r="T101" s="54"/>
      <c r="U101" s="54">
        <v>623272</v>
      </c>
      <c r="V101" s="36">
        <f t="shared" ref="V101:V107" si="47">U101/Q101*100</f>
        <v>34.839128004471767</v>
      </c>
      <c r="W101" s="35">
        <f t="shared" ref="W101:W106" si="48">U101</f>
        <v>623272</v>
      </c>
      <c r="X101" s="51" t="s">
        <v>486</v>
      </c>
      <c r="Y101" s="49"/>
      <c r="Z101" s="96" t="s">
        <v>308</v>
      </c>
      <c r="AD101" s="83"/>
      <c r="AE101" s="83"/>
    </row>
    <row r="102" spans="1:31" s="50" customFormat="1" ht="89.25">
      <c r="A102" s="51">
        <v>46</v>
      </c>
      <c r="B102" s="52" t="s">
        <v>239</v>
      </c>
      <c r="C102" s="51" t="s">
        <v>58</v>
      </c>
      <c r="D102" s="3" t="s">
        <v>281</v>
      </c>
      <c r="E102" s="11">
        <f t="shared" si="42"/>
        <v>4691345</v>
      </c>
      <c r="F102" s="12">
        <v>3875855</v>
      </c>
      <c r="G102" s="12">
        <f>105604+310711+98909</f>
        <v>515224</v>
      </c>
      <c r="H102" s="12"/>
      <c r="I102" s="12">
        <v>80712</v>
      </c>
      <c r="J102" s="12">
        <v>219554</v>
      </c>
      <c r="K102" s="12">
        <f t="shared" si="44"/>
        <v>3875855</v>
      </c>
      <c r="L102" s="12">
        <v>3617515</v>
      </c>
      <c r="M102" s="13" t="s">
        <v>461</v>
      </c>
      <c r="N102" s="14" t="s">
        <v>462</v>
      </c>
      <c r="O102" s="26">
        <f t="shared" si="45"/>
        <v>703701.75</v>
      </c>
      <c r="P102" s="65">
        <v>15</v>
      </c>
      <c r="Q102" s="24">
        <f t="shared" si="46"/>
        <v>4471000</v>
      </c>
      <c r="R102" s="54">
        <v>4471000</v>
      </c>
      <c r="S102" s="47"/>
      <c r="T102" s="54"/>
      <c r="U102" s="54">
        <v>1189226</v>
      </c>
      <c r="V102" s="36">
        <f t="shared" si="47"/>
        <v>26.598658018340416</v>
      </c>
      <c r="W102" s="35">
        <f t="shared" si="48"/>
        <v>1189226</v>
      </c>
      <c r="X102" s="51" t="s">
        <v>564</v>
      </c>
      <c r="Y102" s="49"/>
      <c r="Z102" s="96" t="s">
        <v>308</v>
      </c>
      <c r="AD102" s="83"/>
      <c r="AE102" s="83"/>
    </row>
    <row r="103" spans="1:31" s="50" customFormat="1" ht="89.25">
      <c r="A103" s="51">
        <v>47</v>
      </c>
      <c r="B103" s="52" t="s">
        <v>240</v>
      </c>
      <c r="C103" s="51" t="s">
        <v>58</v>
      </c>
      <c r="D103" s="3" t="s">
        <v>282</v>
      </c>
      <c r="E103" s="11">
        <f t="shared" si="42"/>
        <v>1027464</v>
      </c>
      <c r="F103" s="12">
        <v>843931</v>
      </c>
      <c r="G103" s="12">
        <f>21198+89753+23655</f>
        <v>134606</v>
      </c>
      <c r="H103" s="12"/>
      <c r="I103" s="12"/>
      <c r="J103" s="12">
        <v>48927</v>
      </c>
      <c r="K103" s="12">
        <f t="shared" si="44"/>
        <v>843931</v>
      </c>
      <c r="L103" s="12">
        <f>K103*95/100</f>
        <v>801734.45</v>
      </c>
      <c r="M103" s="13" t="s">
        <v>159</v>
      </c>
      <c r="N103" s="14" t="s">
        <v>313</v>
      </c>
      <c r="O103" s="26">
        <f t="shared" si="45"/>
        <v>770598</v>
      </c>
      <c r="P103" s="65">
        <v>75</v>
      </c>
      <c r="Q103" s="24">
        <f t="shared" si="46"/>
        <v>978000</v>
      </c>
      <c r="R103" s="54">
        <v>978000</v>
      </c>
      <c r="S103" s="47"/>
      <c r="T103" s="54"/>
      <c r="U103" s="54">
        <v>645694</v>
      </c>
      <c r="V103" s="36">
        <f t="shared" si="47"/>
        <v>66.021881390593052</v>
      </c>
      <c r="W103" s="35">
        <f t="shared" si="48"/>
        <v>645694</v>
      </c>
      <c r="X103" s="51" t="s">
        <v>485</v>
      </c>
      <c r="Y103" s="49"/>
      <c r="Z103" s="96" t="s">
        <v>308</v>
      </c>
      <c r="AD103" s="83"/>
      <c r="AE103" s="83"/>
    </row>
    <row r="104" spans="1:31" s="50" customFormat="1" ht="89.25">
      <c r="A104" s="51">
        <v>48</v>
      </c>
      <c r="B104" s="52" t="s">
        <v>241</v>
      </c>
      <c r="C104" s="51" t="s">
        <v>58</v>
      </c>
      <c r="D104" s="3" t="s">
        <v>283</v>
      </c>
      <c r="E104" s="11">
        <f t="shared" si="42"/>
        <v>1464655</v>
      </c>
      <c r="F104" s="12">
        <v>1211879</v>
      </c>
      <c r="G104" s="12">
        <f>30440+119649+32941</f>
        <v>183030</v>
      </c>
      <c r="H104" s="12"/>
      <c r="I104" s="12"/>
      <c r="J104" s="12">
        <v>69746</v>
      </c>
      <c r="K104" s="12">
        <f t="shared" si="44"/>
        <v>1211879</v>
      </c>
      <c r="L104" s="12">
        <v>1059802</v>
      </c>
      <c r="M104" s="13" t="s">
        <v>471</v>
      </c>
      <c r="N104" s="14" t="s">
        <v>470</v>
      </c>
      <c r="O104" s="26">
        <f t="shared" si="45"/>
        <v>805560.25</v>
      </c>
      <c r="P104" s="65">
        <v>55</v>
      </c>
      <c r="Q104" s="24">
        <f t="shared" si="46"/>
        <v>1395000</v>
      </c>
      <c r="R104" s="54">
        <v>1395000</v>
      </c>
      <c r="S104" s="47"/>
      <c r="T104" s="54"/>
      <c r="U104" s="54">
        <v>750709</v>
      </c>
      <c r="V104" s="36">
        <f t="shared" si="47"/>
        <v>53.814265232974911</v>
      </c>
      <c r="W104" s="35">
        <f t="shared" si="48"/>
        <v>750709</v>
      </c>
      <c r="X104" s="51" t="s">
        <v>565</v>
      </c>
      <c r="Y104" s="49"/>
      <c r="Z104" s="96" t="s">
        <v>308</v>
      </c>
      <c r="AD104" s="83"/>
      <c r="AE104" s="83"/>
    </row>
    <row r="105" spans="1:31" s="50" customFormat="1" ht="89.25">
      <c r="A105" s="51">
        <v>49</v>
      </c>
      <c r="B105" s="52" t="s">
        <v>242</v>
      </c>
      <c r="C105" s="51" t="s">
        <v>58</v>
      </c>
      <c r="D105" s="3" t="s">
        <v>284</v>
      </c>
      <c r="E105" s="11">
        <f t="shared" si="42"/>
        <v>774614</v>
      </c>
      <c r="F105" s="12">
        <v>636737</v>
      </c>
      <c r="G105" s="12">
        <f>15994+66667+18330</f>
        <v>100991</v>
      </c>
      <c r="H105" s="12"/>
      <c r="I105" s="12"/>
      <c r="J105" s="12">
        <v>36886</v>
      </c>
      <c r="K105" s="12">
        <f t="shared" si="44"/>
        <v>636737</v>
      </c>
      <c r="L105" s="12">
        <f>K105*95/100</f>
        <v>604900.15</v>
      </c>
      <c r="M105" s="13" t="s">
        <v>115</v>
      </c>
      <c r="N105" s="14" t="s">
        <v>314</v>
      </c>
      <c r="O105" s="26">
        <f t="shared" si="45"/>
        <v>751375.58</v>
      </c>
      <c r="P105" s="65">
        <v>97</v>
      </c>
      <c r="Q105" s="24">
        <f t="shared" si="46"/>
        <v>738000</v>
      </c>
      <c r="R105" s="54">
        <v>738000</v>
      </c>
      <c r="S105" s="47"/>
      <c r="T105" s="54"/>
      <c r="U105" s="54">
        <v>627579</v>
      </c>
      <c r="V105" s="36">
        <f t="shared" si="47"/>
        <v>85.037804878048789</v>
      </c>
      <c r="W105" s="35">
        <f t="shared" si="48"/>
        <v>627579</v>
      </c>
      <c r="X105" s="51" t="s">
        <v>430</v>
      </c>
      <c r="Y105" s="49"/>
      <c r="Z105" s="96" t="s">
        <v>308</v>
      </c>
      <c r="AD105" s="83"/>
      <c r="AE105" s="83"/>
    </row>
    <row r="106" spans="1:31" s="50" customFormat="1" ht="89.25">
      <c r="A106" s="51">
        <v>50</v>
      </c>
      <c r="B106" s="52" t="s">
        <v>243</v>
      </c>
      <c r="C106" s="51" t="s">
        <v>58</v>
      </c>
      <c r="D106" s="3" t="s">
        <v>285</v>
      </c>
      <c r="E106" s="11">
        <f t="shared" si="42"/>
        <v>1848523</v>
      </c>
      <c r="F106" s="12">
        <v>1516097</v>
      </c>
      <c r="G106" s="12">
        <f>38082+165377+40942</f>
        <v>244401</v>
      </c>
      <c r="H106" s="12"/>
      <c r="I106" s="12"/>
      <c r="J106" s="12">
        <v>88025</v>
      </c>
      <c r="K106" s="12">
        <f t="shared" si="44"/>
        <v>1516097</v>
      </c>
      <c r="L106" s="12">
        <v>1420578</v>
      </c>
      <c r="M106" s="13" t="s">
        <v>473</v>
      </c>
      <c r="N106" s="14" t="s">
        <v>472</v>
      </c>
      <c r="O106" s="26">
        <f t="shared" si="45"/>
        <v>1016687.65</v>
      </c>
      <c r="P106" s="65">
        <v>55</v>
      </c>
      <c r="Q106" s="24">
        <f t="shared" si="46"/>
        <v>1761000</v>
      </c>
      <c r="R106" s="54">
        <v>1761000</v>
      </c>
      <c r="S106" s="47"/>
      <c r="T106" s="54"/>
      <c r="U106" s="54">
        <v>654324</v>
      </c>
      <c r="V106" s="36">
        <f t="shared" si="47"/>
        <v>37.156388415672915</v>
      </c>
      <c r="W106" s="35">
        <f t="shared" si="48"/>
        <v>654324</v>
      </c>
      <c r="X106" s="51" t="s">
        <v>485</v>
      </c>
      <c r="Y106" s="49"/>
      <c r="Z106" s="96" t="s">
        <v>308</v>
      </c>
      <c r="AD106" s="83"/>
      <c r="AE106" s="83"/>
    </row>
    <row r="107" spans="1:31" s="72" customFormat="1">
      <c r="A107" s="2" t="s">
        <v>45</v>
      </c>
      <c r="B107" s="67" t="s">
        <v>192</v>
      </c>
      <c r="C107" s="44"/>
      <c r="D107" s="44"/>
      <c r="E107" s="44">
        <f t="shared" ref="E107:L107" si="49">SUM(E108:E122)</f>
        <v>7610335</v>
      </c>
      <c r="F107" s="44">
        <f t="shared" si="49"/>
        <v>6096079</v>
      </c>
      <c r="G107" s="44">
        <f t="shared" si="49"/>
        <v>1151860</v>
      </c>
      <c r="H107" s="44">
        <f t="shared" si="49"/>
        <v>0</v>
      </c>
      <c r="I107" s="44">
        <f t="shared" si="49"/>
        <v>0</v>
      </c>
      <c r="J107" s="44">
        <f t="shared" si="49"/>
        <v>362396</v>
      </c>
      <c r="K107" s="44">
        <f t="shared" si="49"/>
        <v>6096079</v>
      </c>
      <c r="L107" s="44">
        <f t="shared" si="49"/>
        <v>0</v>
      </c>
      <c r="M107" s="2"/>
      <c r="N107" s="44"/>
      <c r="O107" s="44">
        <f>SUM(O108:O122)</f>
        <v>0</v>
      </c>
      <c r="P107" s="2"/>
      <c r="Q107" s="44">
        <f>SUM(Q108:Q122)</f>
        <v>13652000</v>
      </c>
      <c r="R107" s="44">
        <f>SUM(R108:R122)</f>
        <v>13652000</v>
      </c>
      <c r="S107" s="44">
        <f>SUM(S108:S122)</f>
        <v>0</v>
      </c>
      <c r="T107" s="44">
        <f>SUM(T108:T122)</f>
        <v>0</v>
      </c>
      <c r="U107" s="44">
        <f>SUM(U108:U122)</f>
        <v>0</v>
      </c>
      <c r="V107" s="97">
        <f t="shared" si="47"/>
        <v>0</v>
      </c>
      <c r="W107" s="44">
        <f>SUM(W108:W122)</f>
        <v>0</v>
      </c>
      <c r="X107" s="2"/>
      <c r="Y107" s="95"/>
      <c r="AD107" s="150"/>
      <c r="AE107" s="150"/>
    </row>
    <row r="108" spans="1:31" s="50" customFormat="1" ht="25.5">
      <c r="A108" s="51">
        <v>51</v>
      </c>
      <c r="B108" s="52" t="s">
        <v>193</v>
      </c>
      <c r="C108" s="51" t="s">
        <v>54</v>
      </c>
      <c r="D108" s="3"/>
      <c r="E108" s="11">
        <f t="shared" si="42"/>
        <v>688082</v>
      </c>
      <c r="F108" s="12">
        <v>545541</v>
      </c>
      <c r="G108" s="12">
        <f>16148+78677+14950</f>
        <v>109775</v>
      </c>
      <c r="H108" s="12"/>
      <c r="I108" s="12"/>
      <c r="J108" s="12">
        <v>32766</v>
      </c>
      <c r="K108" s="12">
        <f t="shared" ref="K108:K122" si="50">F108</f>
        <v>545541</v>
      </c>
      <c r="L108" s="12"/>
      <c r="M108" s="13"/>
      <c r="N108" s="14"/>
      <c r="O108" s="26">
        <f t="shared" ref="O108:O135" si="51">P108*E108/100</f>
        <v>0</v>
      </c>
      <c r="P108" s="65"/>
      <c r="Q108" s="24">
        <f t="shared" ref="Q108:Q127" si="52">SUM(R108:T108)</f>
        <v>720000</v>
      </c>
      <c r="R108" s="54">
        <v>720000</v>
      </c>
      <c r="S108" s="47"/>
      <c r="T108" s="54"/>
      <c r="U108" s="54"/>
      <c r="V108" s="36">
        <f t="shared" ref="V108:V128" si="53">U108/Q108*100</f>
        <v>0</v>
      </c>
      <c r="W108" s="35"/>
      <c r="X108" s="450" t="s">
        <v>554</v>
      </c>
      <c r="Y108" s="49"/>
      <c r="Z108" s="96" t="s">
        <v>216</v>
      </c>
      <c r="AD108" s="83"/>
      <c r="AE108" s="83"/>
    </row>
    <row r="109" spans="1:31" s="50" customFormat="1" ht="25.5">
      <c r="A109" s="51">
        <v>52</v>
      </c>
      <c r="B109" s="52" t="s">
        <v>194</v>
      </c>
      <c r="C109" s="51" t="s">
        <v>51</v>
      </c>
      <c r="D109" s="3"/>
      <c r="E109" s="11">
        <f t="shared" si="42"/>
        <v>0</v>
      </c>
      <c r="F109" s="12"/>
      <c r="G109" s="12"/>
      <c r="H109" s="12"/>
      <c r="I109" s="12"/>
      <c r="J109" s="12"/>
      <c r="K109" s="12">
        <f t="shared" si="50"/>
        <v>0</v>
      </c>
      <c r="L109" s="12"/>
      <c r="M109" s="13"/>
      <c r="N109" s="14"/>
      <c r="O109" s="26">
        <f t="shared" si="51"/>
        <v>0</v>
      </c>
      <c r="P109" s="65"/>
      <c r="Q109" s="24">
        <f t="shared" si="52"/>
        <v>300000</v>
      </c>
      <c r="R109" s="54">
        <v>300000</v>
      </c>
      <c r="S109" s="47"/>
      <c r="T109" s="54"/>
      <c r="U109" s="54"/>
      <c r="V109" s="36">
        <f t="shared" si="53"/>
        <v>0</v>
      </c>
      <c r="W109" s="35"/>
      <c r="X109" s="160" t="s">
        <v>549</v>
      </c>
      <c r="Y109" s="49"/>
      <c r="Z109" s="96" t="s">
        <v>216</v>
      </c>
      <c r="AD109" s="83"/>
      <c r="AE109" s="83"/>
    </row>
    <row r="110" spans="1:31" s="50" customFormat="1" ht="38.25">
      <c r="A110" s="51">
        <v>53</v>
      </c>
      <c r="B110" s="52" t="s">
        <v>262</v>
      </c>
      <c r="C110" s="51" t="s">
        <v>55</v>
      </c>
      <c r="D110" s="3"/>
      <c r="E110" s="11">
        <f t="shared" si="42"/>
        <v>365868</v>
      </c>
      <c r="F110" s="12">
        <v>280089</v>
      </c>
      <c r="G110" s="12">
        <f>8291+48634+11432</f>
        <v>68357</v>
      </c>
      <c r="H110" s="12"/>
      <c r="I110" s="12"/>
      <c r="J110" s="12">
        <v>17422</v>
      </c>
      <c r="K110" s="12">
        <f t="shared" si="50"/>
        <v>280089</v>
      </c>
      <c r="L110" s="12"/>
      <c r="M110" s="13"/>
      <c r="N110" s="14"/>
      <c r="O110" s="26">
        <f t="shared" si="51"/>
        <v>0</v>
      </c>
      <c r="P110" s="65"/>
      <c r="Q110" s="24">
        <f t="shared" si="52"/>
        <v>500000</v>
      </c>
      <c r="R110" s="54">
        <v>500000</v>
      </c>
      <c r="S110" s="47"/>
      <c r="T110" s="54"/>
      <c r="U110" s="54"/>
      <c r="V110" s="36">
        <f t="shared" si="53"/>
        <v>0</v>
      </c>
      <c r="W110" s="35"/>
      <c r="X110" s="450" t="s">
        <v>540</v>
      </c>
      <c r="Y110" s="49"/>
      <c r="Z110" s="96" t="s">
        <v>216</v>
      </c>
      <c r="AD110" s="83"/>
      <c r="AE110" s="83"/>
    </row>
    <row r="111" spans="1:31" s="50" customFormat="1" ht="38.25">
      <c r="A111" s="51">
        <v>54</v>
      </c>
      <c r="B111" s="52" t="s">
        <v>195</v>
      </c>
      <c r="C111" s="51" t="s">
        <v>56</v>
      </c>
      <c r="D111" s="3"/>
      <c r="E111" s="11">
        <f t="shared" si="42"/>
        <v>0</v>
      </c>
      <c r="F111" s="12"/>
      <c r="G111" s="12"/>
      <c r="H111" s="12"/>
      <c r="I111" s="12"/>
      <c r="J111" s="12"/>
      <c r="K111" s="12">
        <f t="shared" si="50"/>
        <v>0</v>
      </c>
      <c r="L111" s="12"/>
      <c r="M111" s="13"/>
      <c r="N111" s="14"/>
      <c r="O111" s="26">
        <f t="shared" si="51"/>
        <v>0</v>
      </c>
      <c r="P111" s="65"/>
      <c r="Q111" s="24">
        <f t="shared" si="52"/>
        <v>1500000</v>
      </c>
      <c r="R111" s="54">
        <v>1500000</v>
      </c>
      <c r="S111" s="47"/>
      <c r="T111" s="54"/>
      <c r="U111" s="54"/>
      <c r="V111" s="36">
        <f t="shared" si="53"/>
        <v>0</v>
      </c>
      <c r="W111" s="35"/>
      <c r="X111" s="377" t="s">
        <v>467</v>
      </c>
      <c r="Y111" s="49"/>
      <c r="Z111" s="96" t="s">
        <v>216</v>
      </c>
      <c r="AD111" s="83"/>
      <c r="AE111" s="83"/>
    </row>
    <row r="112" spans="1:31" s="50" customFormat="1" ht="51">
      <c r="A112" s="51">
        <v>55</v>
      </c>
      <c r="B112" s="52" t="s">
        <v>196</v>
      </c>
      <c r="C112" s="51" t="s">
        <v>51</v>
      </c>
      <c r="D112" s="3"/>
      <c r="E112" s="11">
        <f t="shared" si="42"/>
        <v>1997393</v>
      </c>
      <c r="F112" s="12">
        <v>1575282</v>
      </c>
      <c r="G112" s="12">
        <f>46250+241257+39490</f>
        <v>326997</v>
      </c>
      <c r="H112" s="12"/>
      <c r="I112" s="12"/>
      <c r="J112" s="12">
        <v>95114</v>
      </c>
      <c r="K112" s="12">
        <f t="shared" si="50"/>
        <v>1575282</v>
      </c>
      <c r="L112" s="12"/>
      <c r="M112" s="13"/>
      <c r="N112" s="14"/>
      <c r="O112" s="26">
        <f t="shared" si="51"/>
        <v>0</v>
      </c>
      <c r="P112" s="65"/>
      <c r="Q112" s="24">
        <f t="shared" si="52"/>
        <v>2432000</v>
      </c>
      <c r="R112" s="54">
        <v>2432000</v>
      </c>
      <c r="S112" s="47"/>
      <c r="T112" s="54"/>
      <c r="U112" s="54"/>
      <c r="V112" s="36">
        <f t="shared" si="53"/>
        <v>0</v>
      </c>
      <c r="W112" s="35"/>
      <c r="X112" s="450" t="s">
        <v>554</v>
      </c>
      <c r="Y112" s="49"/>
      <c r="Z112" s="96" t="s">
        <v>216</v>
      </c>
      <c r="AD112" s="83"/>
      <c r="AE112" s="83"/>
    </row>
    <row r="113" spans="1:31" s="50" customFormat="1" ht="56.25" customHeight="1">
      <c r="A113" s="51">
        <v>56</v>
      </c>
      <c r="B113" s="52" t="s">
        <v>197</v>
      </c>
      <c r="C113" s="51" t="s">
        <v>51</v>
      </c>
      <c r="D113" s="3" t="s">
        <v>533</v>
      </c>
      <c r="E113" s="11">
        <f t="shared" si="42"/>
        <v>3049262</v>
      </c>
      <c r="F113" s="12">
        <v>2472180</v>
      </c>
      <c r="G113" s="12">
        <f>73177+291076+67627</f>
        <v>431880</v>
      </c>
      <c r="H113" s="12"/>
      <c r="I113" s="12"/>
      <c r="J113" s="12">
        <v>145202</v>
      </c>
      <c r="K113" s="12">
        <f t="shared" si="50"/>
        <v>2472180</v>
      </c>
      <c r="L113" s="12"/>
      <c r="M113" s="13"/>
      <c r="N113" s="14"/>
      <c r="O113" s="26">
        <f t="shared" si="51"/>
        <v>0</v>
      </c>
      <c r="P113" s="65"/>
      <c r="Q113" s="24">
        <f t="shared" si="52"/>
        <v>1090000</v>
      </c>
      <c r="R113" s="54">
        <v>1090000</v>
      </c>
      <c r="S113" s="47"/>
      <c r="T113" s="54"/>
      <c r="U113" s="54"/>
      <c r="V113" s="36">
        <f t="shared" si="53"/>
        <v>0</v>
      </c>
      <c r="W113" s="35"/>
      <c r="X113" s="171" t="s">
        <v>536</v>
      </c>
      <c r="Y113" s="49"/>
      <c r="Z113" s="96" t="s">
        <v>216</v>
      </c>
      <c r="AD113" s="83"/>
      <c r="AE113" s="83"/>
    </row>
    <row r="114" spans="1:31" s="50" customFormat="1" ht="25.5">
      <c r="A114" s="51">
        <v>57</v>
      </c>
      <c r="B114" s="52" t="s">
        <v>198</v>
      </c>
      <c r="C114" s="51" t="s">
        <v>54</v>
      </c>
      <c r="D114" s="3"/>
      <c r="E114" s="11">
        <f t="shared" si="42"/>
        <v>0</v>
      </c>
      <c r="F114" s="12"/>
      <c r="G114" s="12"/>
      <c r="H114" s="12"/>
      <c r="I114" s="12"/>
      <c r="J114" s="12"/>
      <c r="K114" s="12">
        <f t="shared" si="50"/>
        <v>0</v>
      </c>
      <c r="L114" s="12"/>
      <c r="M114" s="13"/>
      <c r="N114" s="14"/>
      <c r="O114" s="26">
        <f t="shared" si="51"/>
        <v>0</v>
      </c>
      <c r="P114" s="65"/>
      <c r="Q114" s="24">
        <f t="shared" si="52"/>
        <v>1500000</v>
      </c>
      <c r="R114" s="54">
        <v>1500000</v>
      </c>
      <c r="S114" s="47"/>
      <c r="T114" s="54"/>
      <c r="U114" s="54"/>
      <c r="V114" s="36">
        <f t="shared" si="53"/>
        <v>0</v>
      </c>
      <c r="W114" s="35"/>
      <c r="X114" s="376" t="s">
        <v>642</v>
      </c>
      <c r="Y114" s="49"/>
      <c r="Z114" s="96" t="s">
        <v>216</v>
      </c>
      <c r="AD114" s="83"/>
      <c r="AE114" s="83"/>
    </row>
    <row r="115" spans="1:31" s="50" customFormat="1" ht="25.5">
      <c r="A115" s="51">
        <v>58</v>
      </c>
      <c r="B115" s="52" t="s">
        <v>199</v>
      </c>
      <c r="C115" s="51" t="s">
        <v>54</v>
      </c>
      <c r="D115" s="3"/>
      <c r="E115" s="11">
        <f t="shared" si="42"/>
        <v>0</v>
      </c>
      <c r="F115" s="12"/>
      <c r="G115" s="12"/>
      <c r="H115" s="12"/>
      <c r="I115" s="12"/>
      <c r="J115" s="12"/>
      <c r="K115" s="12">
        <f t="shared" si="50"/>
        <v>0</v>
      </c>
      <c r="L115" s="12"/>
      <c r="M115" s="13"/>
      <c r="N115" s="14"/>
      <c r="O115" s="26">
        <f t="shared" si="51"/>
        <v>0</v>
      </c>
      <c r="P115" s="65"/>
      <c r="Q115" s="24">
        <f t="shared" si="52"/>
        <v>1600000</v>
      </c>
      <c r="R115" s="54">
        <v>1600000</v>
      </c>
      <c r="S115" s="47"/>
      <c r="T115" s="54"/>
      <c r="U115" s="54"/>
      <c r="V115" s="36">
        <f t="shared" si="53"/>
        <v>0</v>
      </c>
      <c r="W115" s="35"/>
      <c r="X115" s="376" t="s">
        <v>642</v>
      </c>
      <c r="Y115" s="49"/>
      <c r="Z115" s="96" t="s">
        <v>216</v>
      </c>
      <c r="AD115" s="83"/>
      <c r="AE115" s="83"/>
    </row>
    <row r="116" spans="1:31" s="50" customFormat="1" ht="76.5">
      <c r="A116" s="51">
        <v>59</v>
      </c>
      <c r="B116" s="52" t="s">
        <v>200</v>
      </c>
      <c r="C116" s="51" t="s">
        <v>53</v>
      </c>
      <c r="D116" s="3"/>
      <c r="E116" s="11">
        <f t="shared" si="42"/>
        <v>0</v>
      </c>
      <c r="F116" s="12"/>
      <c r="G116" s="12"/>
      <c r="H116" s="12"/>
      <c r="I116" s="12"/>
      <c r="J116" s="12"/>
      <c r="K116" s="12">
        <f t="shared" si="50"/>
        <v>0</v>
      </c>
      <c r="L116" s="12"/>
      <c r="M116" s="13"/>
      <c r="N116" s="14"/>
      <c r="O116" s="26">
        <f t="shared" si="51"/>
        <v>0</v>
      </c>
      <c r="P116" s="65"/>
      <c r="Q116" s="24">
        <f t="shared" si="52"/>
        <v>450000</v>
      </c>
      <c r="R116" s="54">
        <v>450000</v>
      </c>
      <c r="S116" s="47"/>
      <c r="T116" s="54"/>
      <c r="U116" s="54"/>
      <c r="V116" s="36">
        <f t="shared" si="53"/>
        <v>0</v>
      </c>
      <c r="W116" s="35"/>
      <c r="X116" s="64" t="s">
        <v>469</v>
      </c>
      <c r="Y116" s="49"/>
      <c r="Z116" s="96" t="s">
        <v>216</v>
      </c>
      <c r="AD116" s="83"/>
      <c r="AE116" s="83"/>
    </row>
    <row r="117" spans="1:31" s="50" customFormat="1" ht="76.5">
      <c r="A117" s="51">
        <v>60</v>
      </c>
      <c r="B117" s="52" t="s">
        <v>201</v>
      </c>
      <c r="C117" s="51" t="s">
        <v>53</v>
      </c>
      <c r="D117" s="3"/>
      <c r="E117" s="11">
        <f t="shared" si="42"/>
        <v>0</v>
      </c>
      <c r="F117" s="12"/>
      <c r="G117" s="12"/>
      <c r="H117" s="12"/>
      <c r="I117" s="12"/>
      <c r="J117" s="12"/>
      <c r="K117" s="12">
        <f t="shared" si="50"/>
        <v>0</v>
      </c>
      <c r="L117" s="12"/>
      <c r="M117" s="13"/>
      <c r="N117" s="14"/>
      <c r="O117" s="26">
        <f t="shared" si="51"/>
        <v>0</v>
      </c>
      <c r="P117" s="65"/>
      <c r="Q117" s="24">
        <f t="shared" si="52"/>
        <v>450000</v>
      </c>
      <c r="R117" s="54">
        <v>450000</v>
      </c>
      <c r="S117" s="47"/>
      <c r="T117" s="54"/>
      <c r="U117" s="54"/>
      <c r="V117" s="36">
        <f t="shared" si="53"/>
        <v>0</v>
      </c>
      <c r="W117" s="35"/>
      <c r="X117" s="64" t="s">
        <v>469</v>
      </c>
      <c r="Y117" s="49"/>
      <c r="Z117" s="96" t="s">
        <v>216</v>
      </c>
      <c r="AD117" s="83"/>
      <c r="AE117" s="83"/>
    </row>
    <row r="118" spans="1:31" s="50" customFormat="1" ht="25.5">
      <c r="A118" s="51">
        <v>61</v>
      </c>
      <c r="B118" s="52" t="s">
        <v>202</v>
      </c>
      <c r="C118" s="51" t="s">
        <v>57</v>
      </c>
      <c r="D118" s="3"/>
      <c r="E118" s="11">
        <f t="shared" si="42"/>
        <v>1047716</v>
      </c>
      <c r="F118" s="12">
        <v>853810</v>
      </c>
      <c r="G118" s="12">
        <f>25273+96930+21812</f>
        <v>144015</v>
      </c>
      <c r="H118" s="12"/>
      <c r="I118" s="12"/>
      <c r="J118" s="12">
        <v>49891</v>
      </c>
      <c r="K118" s="12">
        <f t="shared" si="50"/>
        <v>853810</v>
      </c>
      <c r="L118" s="12"/>
      <c r="M118" s="13"/>
      <c r="N118" s="14"/>
      <c r="O118" s="26">
        <f t="shared" si="51"/>
        <v>0</v>
      </c>
      <c r="P118" s="65"/>
      <c r="Q118" s="24">
        <f t="shared" si="52"/>
        <v>450000</v>
      </c>
      <c r="R118" s="54">
        <v>450000</v>
      </c>
      <c r="S118" s="47"/>
      <c r="T118" s="54"/>
      <c r="U118" s="54"/>
      <c r="V118" s="36">
        <f t="shared" si="53"/>
        <v>0</v>
      </c>
      <c r="W118" s="35"/>
      <c r="X118" s="450" t="s">
        <v>554</v>
      </c>
      <c r="Y118" s="49"/>
      <c r="Z118" s="96" t="s">
        <v>216</v>
      </c>
      <c r="AD118" s="83"/>
      <c r="AE118" s="83"/>
    </row>
    <row r="119" spans="1:31" s="50" customFormat="1" ht="25.5">
      <c r="A119" s="51">
        <v>62</v>
      </c>
      <c r="B119" s="52" t="s">
        <v>203</v>
      </c>
      <c r="C119" s="51" t="s">
        <v>57</v>
      </c>
      <c r="D119" s="3"/>
      <c r="E119" s="11">
        <f t="shared" si="42"/>
        <v>462014</v>
      </c>
      <c r="F119" s="12">
        <v>369177</v>
      </c>
      <c r="G119" s="12">
        <f>10928+49123+10785</f>
        <v>70836</v>
      </c>
      <c r="H119" s="12"/>
      <c r="I119" s="12"/>
      <c r="J119" s="12">
        <v>22001</v>
      </c>
      <c r="K119" s="12">
        <f t="shared" si="50"/>
        <v>369177</v>
      </c>
      <c r="L119" s="12"/>
      <c r="M119" s="13"/>
      <c r="N119" s="14"/>
      <c r="O119" s="26">
        <f t="shared" si="51"/>
        <v>0</v>
      </c>
      <c r="P119" s="65"/>
      <c r="Q119" s="24">
        <f t="shared" si="52"/>
        <v>850000</v>
      </c>
      <c r="R119" s="54">
        <v>850000</v>
      </c>
      <c r="S119" s="47"/>
      <c r="T119" s="54"/>
      <c r="U119" s="54"/>
      <c r="V119" s="36">
        <f t="shared" si="53"/>
        <v>0</v>
      </c>
      <c r="W119" s="35"/>
      <c r="X119" s="450" t="s">
        <v>557</v>
      </c>
      <c r="Y119" s="49"/>
      <c r="Z119" s="96" t="s">
        <v>216</v>
      </c>
      <c r="AD119" s="83"/>
      <c r="AE119" s="83"/>
    </row>
    <row r="120" spans="1:31" s="50" customFormat="1" ht="25.5">
      <c r="A120" s="51">
        <v>63</v>
      </c>
      <c r="B120" s="52" t="s">
        <v>204</v>
      </c>
      <c r="C120" s="51" t="s">
        <v>57</v>
      </c>
      <c r="D120" s="3"/>
      <c r="E120" s="11">
        <f t="shared" si="42"/>
        <v>0</v>
      </c>
      <c r="F120" s="12"/>
      <c r="G120" s="12"/>
      <c r="H120" s="12"/>
      <c r="I120" s="12"/>
      <c r="J120" s="12"/>
      <c r="K120" s="12">
        <f t="shared" si="50"/>
        <v>0</v>
      </c>
      <c r="L120" s="12"/>
      <c r="M120" s="13"/>
      <c r="N120" s="14"/>
      <c r="O120" s="26">
        <f t="shared" si="51"/>
        <v>0</v>
      </c>
      <c r="P120" s="65"/>
      <c r="Q120" s="24">
        <f t="shared" si="52"/>
        <v>610000</v>
      </c>
      <c r="R120" s="54">
        <v>610000</v>
      </c>
      <c r="S120" s="47"/>
      <c r="T120" s="54"/>
      <c r="U120" s="54"/>
      <c r="V120" s="36">
        <f t="shared" si="53"/>
        <v>0</v>
      </c>
      <c r="W120" s="35"/>
      <c r="X120" s="377" t="s">
        <v>643</v>
      </c>
      <c r="Y120" s="49"/>
      <c r="Z120" s="96" t="s">
        <v>216</v>
      </c>
      <c r="AD120" s="83"/>
      <c r="AE120" s="83"/>
    </row>
    <row r="121" spans="1:31" s="50" customFormat="1" ht="25.5">
      <c r="A121" s="51">
        <v>64</v>
      </c>
      <c r="B121" s="52" t="s">
        <v>205</v>
      </c>
      <c r="C121" s="51" t="s">
        <v>50</v>
      </c>
      <c r="D121" s="3"/>
      <c r="E121" s="11">
        <f t="shared" si="42"/>
        <v>0</v>
      </c>
      <c r="F121" s="12"/>
      <c r="G121" s="12"/>
      <c r="H121" s="12"/>
      <c r="I121" s="12"/>
      <c r="J121" s="12"/>
      <c r="K121" s="12">
        <f t="shared" si="50"/>
        <v>0</v>
      </c>
      <c r="L121" s="12"/>
      <c r="M121" s="13"/>
      <c r="N121" s="14"/>
      <c r="O121" s="26">
        <f t="shared" si="51"/>
        <v>0</v>
      </c>
      <c r="P121" s="65"/>
      <c r="Q121" s="24">
        <f t="shared" si="52"/>
        <v>600000</v>
      </c>
      <c r="R121" s="54">
        <v>600000</v>
      </c>
      <c r="S121" s="47"/>
      <c r="T121" s="54"/>
      <c r="U121" s="54"/>
      <c r="V121" s="36">
        <f t="shared" si="53"/>
        <v>0</v>
      </c>
      <c r="W121" s="35"/>
      <c r="X121" s="377" t="s">
        <v>637</v>
      </c>
      <c r="Y121" s="49"/>
      <c r="Z121" s="96" t="s">
        <v>216</v>
      </c>
      <c r="AD121" s="83"/>
      <c r="AE121" s="83"/>
    </row>
    <row r="122" spans="1:31" s="50" customFormat="1" ht="51">
      <c r="A122" s="51">
        <v>65</v>
      </c>
      <c r="B122" s="52" t="s">
        <v>206</v>
      </c>
      <c r="C122" s="51" t="s">
        <v>51</v>
      </c>
      <c r="D122" s="3"/>
      <c r="E122" s="11">
        <f t="shared" si="42"/>
        <v>0</v>
      </c>
      <c r="F122" s="12"/>
      <c r="G122" s="12"/>
      <c r="H122" s="12"/>
      <c r="I122" s="12"/>
      <c r="J122" s="12"/>
      <c r="K122" s="12">
        <f t="shared" si="50"/>
        <v>0</v>
      </c>
      <c r="L122" s="12"/>
      <c r="M122" s="13"/>
      <c r="N122" s="14"/>
      <c r="O122" s="26">
        <f t="shared" si="51"/>
        <v>0</v>
      </c>
      <c r="P122" s="65"/>
      <c r="Q122" s="24">
        <f t="shared" si="52"/>
        <v>600000</v>
      </c>
      <c r="R122" s="54">
        <v>600000</v>
      </c>
      <c r="S122" s="47"/>
      <c r="T122" s="54"/>
      <c r="U122" s="54"/>
      <c r="V122" s="36">
        <f t="shared" si="53"/>
        <v>0</v>
      </c>
      <c r="W122" s="35"/>
      <c r="X122" s="171" t="s">
        <v>550</v>
      </c>
      <c r="Y122" s="49"/>
      <c r="Z122" s="96" t="s">
        <v>216</v>
      </c>
      <c r="AD122" s="83"/>
      <c r="AE122" s="83"/>
    </row>
    <row r="123" spans="1:31" s="72" customFormat="1" ht="25.5">
      <c r="A123" s="2" t="s">
        <v>59</v>
      </c>
      <c r="B123" s="67" t="s">
        <v>301</v>
      </c>
      <c r="C123" s="44"/>
      <c r="D123" s="44"/>
      <c r="E123" s="44">
        <f>SUM(E124:E127)</f>
        <v>1606408</v>
      </c>
      <c r="F123" s="44">
        <f t="shared" ref="F123:W123" si="54">SUM(F124:F127)</f>
        <v>1298600</v>
      </c>
      <c r="G123" s="44">
        <f t="shared" si="54"/>
        <v>231312</v>
      </c>
      <c r="H123" s="44">
        <f t="shared" si="54"/>
        <v>0</v>
      </c>
      <c r="I123" s="44">
        <f t="shared" si="54"/>
        <v>0</v>
      </c>
      <c r="J123" s="44">
        <f t="shared" si="54"/>
        <v>76496</v>
      </c>
      <c r="K123" s="44">
        <f t="shared" si="54"/>
        <v>1298600</v>
      </c>
      <c r="L123" s="44">
        <f t="shared" si="54"/>
        <v>0</v>
      </c>
      <c r="M123" s="2">
        <f t="shared" si="54"/>
        <v>0</v>
      </c>
      <c r="N123" s="44">
        <f t="shared" si="54"/>
        <v>0</v>
      </c>
      <c r="O123" s="44">
        <f t="shared" si="54"/>
        <v>0</v>
      </c>
      <c r="P123" s="2">
        <f t="shared" si="54"/>
        <v>0</v>
      </c>
      <c r="Q123" s="44">
        <f t="shared" si="54"/>
        <v>1720181</v>
      </c>
      <c r="R123" s="44">
        <f t="shared" si="54"/>
        <v>1720181</v>
      </c>
      <c r="S123" s="44">
        <f t="shared" si="54"/>
        <v>0</v>
      </c>
      <c r="T123" s="44">
        <f t="shared" si="54"/>
        <v>0</v>
      </c>
      <c r="U123" s="44">
        <f t="shared" si="54"/>
        <v>0</v>
      </c>
      <c r="V123" s="97">
        <f t="shared" si="53"/>
        <v>0</v>
      </c>
      <c r="W123" s="44">
        <f t="shared" si="54"/>
        <v>0</v>
      </c>
      <c r="X123" s="2"/>
      <c r="Y123" s="95"/>
      <c r="AD123" s="150"/>
      <c r="AE123" s="150"/>
    </row>
    <row r="124" spans="1:31" s="50" customFormat="1" ht="38.25">
      <c r="A124" s="51">
        <v>66</v>
      </c>
      <c r="B124" s="52" t="s">
        <v>252</v>
      </c>
      <c r="C124" s="51" t="s">
        <v>56</v>
      </c>
      <c r="D124" s="3"/>
      <c r="E124" s="11">
        <f>SUM(F124:J124)</f>
        <v>0</v>
      </c>
      <c r="F124" s="12"/>
      <c r="G124" s="12"/>
      <c r="H124" s="12"/>
      <c r="I124" s="12"/>
      <c r="J124" s="12"/>
      <c r="K124" s="12">
        <f>F124</f>
        <v>0</v>
      </c>
      <c r="L124" s="12"/>
      <c r="M124" s="13"/>
      <c r="N124" s="14"/>
      <c r="O124" s="26">
        <f t="shared" si="51"/>
        <v>0</v>
      </c>
      <c r="P124" s="65"/>
      <c r="Q124" s="24">
        <f t="shared" si="52"/>
        <v>420181</v>
      </c>
      <c r="R124" s="54">
        <v>420181</v>
      </c>
      <c r="S124" s="47"/>
      <c r="T124" s="54"/>
      <c r="U124" s="54"/>
      <c r="V124" s="36"/>
      <c r="W124" s="35"/>
      <c r="X124" s="171" t="s">
        <v>547</v>
      </c>
      <c r="Y124" s="49"/>
      <c r="Z124" s="96" t="s">
        <v>257</v>
      </c>
      <c r="AD124" s="83"/>
      <c r="AE124" s="83"/>
    </row>
    <row r="125" spans="1:31" s="50" customFormat="1" ht="25.5">
      <c r="A125" s="51">
        <v>67</v>
      </c>
      <c r="B125" s="52" t="s">
        <v>253</v>
      </c>
      <c r="C125" s="51" t="s">
        <v>52</v>
      </c>
      <c r="D125" s="3"/>
      <c r="E125" s="11">
        <f t="shared" si="42"/>
        <v>0</v>
      </c>
      <c r="F125" s="12"/>
      <c r="G125" s="12"/>
      <c r="H125" s="12"/>
      <c r="I125" s="12"/>
      <c r="J125" s="12"/>
      <c r="K125" s="12">
        <f>F125</f>
        <v>0</v>
      </c>
      <c r="L125" s="12"/>
      <c r="M125" s="13"/>
      <c r="N125" s="14"/>
      <c r="O125" s="26">
        <f t="shared" si="51"/>
        <v>0</v>
      </c>
      <c r="P125" s="65"/>
      <c r="Q125" s="24">
        <f t="shared" si="52"/>
        <v>200000</v>
      </c>
      <c r="R125" s="54">
        <v>200000</v>
      </c>
      <c r="S125" s="47"/>
      <c r="T125" s="54"/>
      <c r="U125" s="54"/>
      <c r="V125" s="36"/>
      <c r="W125" s="35"/>
      <c r="X125" s="377" t="s">
        <v>637</v>
      </c>
      <c r="Y125" s="49"/>
      <c r="Z125" s="96" t="s">
        <v>257</v>
      </c>
      <c r="AD125" s="83"/>
      <c r="AE125" s="83"/>
    </row>
    <row r="126" spans="1:31" s="50" customFormat="1" ht="51">
      <c r="A126" s="51">
        <v>68</v>
      </c>
      <c r="B126" s="52" t="s">
        <v>254</v>
      </c>
      <c r="C126" s="51" t="s">
        <v>52</v>
      </c>
      <c r="D126" s="3"/>
      <c r="E126" s="11">
        <f t="shared" si="42"/>
        <v>584278</v>
      </c>
      <c r="F126" s="12">
        <v>470375</v>
      </c>
      <c r="G126" s="12">
        <f>13923+59070+13087</f>
        <v>86080</v>
      </c>
      <c r="H126" s="12"/>
      <c r="I126" s="12"/>
      <c r="J126" s="12">
        <v>27823</v>
      </c>
      <c r="K126" s="12">
        <f>F126</f>
        <v>470375</v>
      </c>
      <c r="L126" s="12"/>
      <c r="M126" s="13"/>
      <c r="N126" s="14"/>
      <c r="O126" s="26">
        <f t="shared" si="51"/>
        <v>0</v>
      </c>
      <c r="P126" s="65"/>
      <c r="Q126" s="24">
        <f t="shared" si="52"/>
        <v>350000</v>
      </c>
      <c r="R126" s="54">
        <v>350000</v>
      </c>
      <c r="S126" s="47"/>
      <c r="T126" s="54"/>
      <c r="U126" s="54"/>
      <c r="V126" s="36"/>
      <c r="W126" s="35"/>
      <c r="X126" s="171" t="s">
        <v>545</v>
      </c>
      <c r="Y126" s="49"/>
      <c r="Z126" s="96" t="s">
        <v>257</v>
      </c>
      <c r="AD126" s="83"/>
      <c r="AE126" s="83"/>
    </row>
    <row r="127" spans="1:31" s="50" customFormat="1" ht="25.5">
      <c r="A127" s="51">
        <v>69</v>
      </c>
      <c r="B127" s="52" t="s">
        <v>255</v>
      </c>
      <c r="C127" s="51" t="s">
        <v>57</v>
      </c>
      <c r="D127" s="3"/>
      <c r="E127" s="11">
        <f t="shared" si="42"/>
        <v>1022130</v>
      </c>
      <c r="F127" s="12">
        <v>828225</v>
      </c>
      <c r="G127" s="12">
        <f>24515+99424+21293</f>
        <v>145232</v>
      </c>
      <c r="H127" s="12"/>
      <c r="I127" s="12"/>
      <c r="J127" s="12">
        <v>48673</v>
      </c>
      <c r="K127" s="12">
        <f>F127</f>
        <v>828225</v>
      </c>
      <c r="L127" s="12"/>
      <c r="M127" s="13"/>
      <c r="N127" s="14"/>
      <c r="O127" s="26">
        <f t="shared" si="51"/>
        <v>0</v>
      </c>
      <c r="P127" s="65"/>
      <c r="Q127" s="24">
        <f t="shared" si="52"/>
        <v>750000</v>
      </c>
      <c r="R127" s="54">
        <v>750000</v>
      </c>
      <c r="S127" s="47"/>
      <c r="T127" s="54"/>
      <c r="U127" s="54"/>
      <c r="V127" s="36"/>
      <c r="W127" s="35"/>
      <c r="X127" s="450" t="s">
        <v>540</v>
      </c>
      <c r="Y127" s="49"/>
      <c r="Z127" s="96" t="s">
        <v>257</v>
      </c>
      <c r="AD127" s="83"/>
      <c r="AE127" s="83"/>
    </row>
    <row r="128" spans="1:31" s="72" customFormat="1" ht="25.5">
      <c r="A128" s="2" t="s">
        <v>256</v>
      </c>
      <c r="B128" s="67" t="s">
        <v>207</v>
      </c>
      <c r="C128" s="44"/>
      <c r="D128" s="44"/>
      <c r="E128" s="146">
        <f t="shared" ref="E128:L128" si="55">SUM(E129:E135)</f>
        <v>20128893</v>
      </c>
      <c r="F128" s="146">
        <f t="shared" si="55"/>
        <v>16530390</v>
      </c>
      <c r="G128" s="146">
        <f t="shared" si="55"/>
        <v>2599747</v>
      </c>
      <c r="H128" s="146">
        <f t="shared" si="55"/>
        <v>0</v>
      </c>
      <c r="I128" s="146">
        <f t="shared" si="55"/>
        <v>50000</v>
      </c>
      <c r="J128" s="146">
        <f t="shared" si="55"/>
        <v>948756</v>
      </c>
      <c r="K128" s="146">
        <f t="shared" si="55"/>
        <v>16530390</v>
      </c>
      <c r="L128" s="146">
        <f t="shared" si="55"/>
        <v>0</v>
      </c>
      <c r="M128" s="2"/>
      <c r="N128" s="44"/>
      <c r="O128" s="146">
        <f>SUM(O129:O135)</f>
        <v>0</v>
      </c>
      <c r="P128" s="2"/>
      <c r="Q128" s="146">
        <f>SUM(Q129:Q135)</f>
        <v>7748000</v>
      </c>
      <c r="R128" s="146">
        <f>SUM(R129:R135)</f>
        <v>7748000</v>
      </c>
      <c r="S128" s="146">
        <f>SUM(S129:S135)</f>
        <v>0</v>
      </c>
      <c r="T128" s="146">
        <f>SUM(T129:T135)</f>
        <v>0</v>
      </c>
      <c r="U128" s="146">
        <f>SUM(U129:U135)</f>
        <v>0</v>
      </c>
      <c r="V128" s="97">
        <f t="shared" si="53"/>
        <v>0</v>
      </c>
      <c r="W128" s="146">
        <f>SUM(W129:W135)</f>
        <v>0</v>
      </c>
      <c r="X128" s="2"/>
      <c r="Y128" s="95"/>
      <c r="AD128" s="150"/>
      <c r="AE128" s="150"/>
    </row>
    <row r="129" spans="1:31" s="50" customFormat="1" ht="25.5">
      <c r="A129" s="51">
        <v>70</v>
      </c>
      <c r="B129" s="52" t="s">
        <v>208</v>
      </c>
      <c r="C129" s="51" t="s">
        <v>268</v>
      </c>
      <c r="D129" s="3"/>
      <c r="E129" s="11">
        <f t="shared" si="42"/>
        <v>0</v>
      </c>
      <c r="F129" s="12"/>
      <c r="G129" s="12"/>
      <c r="H129" s="12"/>
      <c r="I129" s="12"/>
      <c r="J129" s="12"/>
      <c r="K129" s="12">
        <f t="shared" ref="K129:K138" si="56">F129</f>
        <v>0</v>
      </c>
      <c r="L129" s="12"/>
      <c r="M129" s="13"/>
      <c r="N129" s="14"/>
      <c r="O129" s="26">
        <f t="shared" si="51"/>
        <v>0</v>
      </c>
      <c r="P129" s="65"/>
      <c r="Q129" s="24">
        <f t="shared" ref="Q129:Q138" si="57">SUM(R129:T129)</f>
        <v>982000</v>
      </c>
      <c r="R129" s="54">
        <v>982000</v>
      </c>
      <c r="S129" s="47"/>
      <c r="T129" s="54"/>
      <c r="U129" s="54"/>
      <c r="V129" s="36">
        <f t="shared" ref="V129:V138" si="58">U129/Q129*100</f>
        <v>0</v>
      </c>
      <c r="W129" s="35"/>
      <c r="X129" s="377" t="s">
        <v>637</v>
      </c>
      <c r="Y129" s="49"/>
      <c r="Z129" s="96" t="s">
        <v>216</v>
      </c>
      <c r="AD129" s="83"/>
      <c r="AE129" s="83"/>
    </row>
    <row r="130" spans="1:31" s="50" customFormat="1" ht="51">
      <c r="A130" s="51">
        <v>71</v>
      </c>
      <c r="B130" s="52" t="s">
        <v>489</v>
      </c>
      <c r="C130" s="51" t="s">
        <v>55</v>
      </c>
      <c r="D130" s="3" t="s">
        <v>532</v>
      </c>
      <c r="E130" s="11">
        <f t="shared" si="42"/>
        <v>4184949</v>
      </c>
      <c r="F130" s="12">
        <v>3398615</v>
      </c>
      <c r="G130" s="12">
        <f>93904+399685+93462</f>
        <v>587051</v>
      </c>
      <c r="H130" s="12"/>
      <c r="I130" s="12"/>
      <c r="J130" s="12">
        <v>199283</v>
      </c>
      <c r="K130" s="12">
        <f t="shared" si="56"/>
        <v>3398615</v>
      </c>
      <c r="L130" s="12"/>
      <c r="M130" s="13"/>
      <c r="N130" s="14"/>
      <c r="O130" s="26">
        <f t="shared" si="51"/>
        <v>0</v>
      </c>
      <c r="P130" s="65"/>
      <c r="Q130" s="24">
        <f t="shared" si="57"/>
        <v>950000</v>
      </c>
      <c r="R130" s="54">
        <v>950000</v>
      </c>
      <c r="S130" s="47"/>
      <c r="T130" s="54"/>
      <c r="U130" s="54"/>
      <c r="V130" s="36">
        <f t="shared" si="58"/>
        <v>0</v>
      </c>
      <c r="W130" s="35"/>
      <c r="X130" s="171" t="s">
        <v>536</v>
      </c>
      <c r="Y130" s="49"/>
      <c r="Z130" s="96" t="s">
        <v>216</v>
      </c>
      <c r="AD130" s="83"/>
      <c r="AE130" s="83"/>
    </row>
    <row r="131" spans="1:31" s="50" customFormat="1" ht="51">
      <c r="A131" s="51">
        <v>72</v>
      </c>
      <c r="B131" s="52" t="s">
        <v>210</v>
      </c>
      <c r="C131" s="51" t="s">
        <v>51</v>
      </c>
      <c r="D131" s="3"/>
      <c r="E131" s="11">
        <f t="shared" si="42"/>
        <v>1458765</v>
      </c>
      <c r="F131" s="12">
        <v>1188822</v>
      </c>
      <c r="G131" s="12">
        <f>34904+135803+29771</f>
        <v>200478</v>
      </c>
      <c r="H131" s="12"/>
      <c r="I131" s="12"/>
      <c r="J131" s="12">
        <v>69465</v>
      </c>
      <c r="K131" s="12">
        <f t="shared" si="56"/>
        <v>1188822</v>
      </c>
      <c r="L131" s="12"/>
      <c r="M131" s="13"/>
      <c r="N131" s="14"/>
      <c r="O131" s="26">
        <f t="shared" si="51"/>
        <v>0</v>
      </c>
      <c r="P131" s="65"/>
      <c r="Q131" s="24">
        <f t="shared" si="57"/>
        <v>500000</v>
      </c>
      <c r="R131" s="54">
        <v>500000</v>
      </c>
      <c r="S131" s="47"/>
      <c r="T131" s="54"/>
      <c r="U131" s="54"/>
      <c r="V131" s="36">
        <f t="shared" si="58"/>
        <v>0</v>
      </c>
      <c r="W131" s="35"/>
      <c r="X131" s="171" t="s">
        <v>545</v>
      </c>
      <c r="Y131" s="49"/>
      <c r="Z131" s="96" t="s">
        <v>216</v>
      </c>
      <c r="AD131" s="83"/>
      <c r="AE131" s="83"/>
    </row>
    <row r="132" spans="1:31" s="50" customFormat="1" ht="51">
      <c r="A132" s="51">
        <v>73</v>
      </c>
      <c r="B132" s="52" t="s">
        <v>211</v>
      </c>
      <c r="C132" s="51" t="s">
        <v>51</v>
      </c>
      <c r="D132" s="3"/>
      <c r="E132" s="11">
        <f t="shared" si="42"/>
        <v>1303927</v>
      </c>
      <c r="F132" s="12">
        <v>1014001</v>
      </c>
      <c r="G132" s="12">
        <f>29771+124614+25830</f>
        <v>180215</v>
      </c>
      <c r="H132" s="12"/>
      <c r="I132" s="12">
        <v>50000</v>
      </c>
      <c r="J132" s="12">
        <v>59711</v>
      </c>
      <c r="K132" s="12">
        <f t="shared" si="56"/>
        <v>1014001</v>
      </c>
      <c r="L132" s="12"/>
      <c r="M132" s="13"/>
      <c r="N132" s="14"/>
      <c r="O132" s="26">
        <f t="shared" si="51"/>
        <v>0</v>
      </c>
      <c r="P132" s="65"/>
      <c r="Q132" s="24">
        <f t="shared" si="57"/>
        <v>500000</v>
      </c>
      <c r="R132" s="54">
        <v>500000</v>
      </c>
      <c r="S132" s="47"/>
      <c r="T132" s="54"/>
      <c r="U132" s="54"/>
      <c r="V132" s="36">
        <f t="shared" si="58"/>
        <v>0</v>
      </c>
      <c r="W132" s="35"/>
      <c r="X132" s="171" t="s">
        <v>545</v>
      </c>
      <c r="Y132" s="49"/>
      <c r="Z132" s="96" t="s">
        <v>216</v>
      </c>
      <c r="AD132" s="83"/>
      <c r="AE132" s="83"/>
    </row>
    <row r="133" spans="1:31" s="50" customFormat="1" ht="38.25">
      <c r="A133" s="51">
        <v>74</v>
      </c>
      <c r="B133" s="52" t="s">
        <v>212</v>
      </c>
      <c r="C133" s="51" t="s">
        <v>53</v>
      </c>
      <c r="D133" s="3"/>
      <c r="E133" s="11">
        <f t="shared" si="42"/>
        <v>0</v>
      </c>
      <c r="F133" s="12"/>
      <c r="G133" s="12"/>
      <c r="H133" s="12"/>
      <c r="I133" s="12"/>
      <c r="J133" s="12"/>
      <c r="K133" s="12">
        <f t="shared" si="56"/>
        <v>0</v>
      </c>
      <c r="L133" s="12"/>
      <c r="M133" s="13"/>
      <c r="N133" s="14"/>
      <c r="O133" s="26">
        <f t="shared" si="51"/>
        <v>0</v>
      </c>
      <c r="P133" s="65"/>
      <c r="Q133" s="24">
        <f t="shared" si="57"/>
        <v>600000</v>
      </c>
      <c r="R133" s="54">
        <v>600000</v>
      </c>
      <c r="S133" s="47"/>
      <c r="T133" s="54"/>
      <c r="U133" s="54"/>
      <c r="V133" s="36">
        <f t="shared" si="58"/>
        <v>0</v>
      </c>
      <c r="W133" s="35"/>
      <c r="X133" s="171" t="s">
        <v>548</v>
      </c>
      <c r="Y133" s="49"/>
      <c r="Z133" s="96" t="s">
        <v>216</v>
      </c>
      <c r="AD133" s="83"/>
      <c r="AE133" s="83"/>
    </row>
    <row r="134" spans="1:31" s="50" customFormat="1" ht="25.5">
      <c r="A134" s="51">
        <v>75</v>
      </c>
      <c r="B134" s="52" t="s">
        <v>213</v>
      </c>
      <c r="C134" s="51" t="s">
        <v>53</v>
      </c>
      <c r="D134" s="3"/>
      <c r="E134" s="11">
        <f t="shared" si="42"/>
        <v>686920</v>
      </c>
      <c r="F134" s="12">
        <v>549930</v>
      </c>
      <c r="G134" s="12">
        <f>15195+73989+15096</f>
        <v>104280</v>
      </c>
      <c r="H134" s="12"/>
      <c r="I134" s="12"/>
      <c r="J134" s="12">
        <v>32710</v>
      </c>
      <c r="K134" s="12">
        <f t="shared" si="56"/>
        <v>549930</v>
      </c>
      <c r="L134" s="12"/>
      <c r="M134" s="13"/>
      <c r="N134" s="14"/>
      <c r="O134" s="26">
        <f t="shared" si="51"/>
        <v>0</v>
      </c>
      <c r="P134" s="65"/>
      <c r="Q134" s="24">
        <f t="shared" si="57"/>
        <v>550000</v>
      </c>
      <c r="R134" s="54">
        <v>550000</v>
      </c>
      <c r="S134" s="47"/>
      <c r="T134" s="54"/>
      <c r="U134" s="54"/>
      <c r="V134" s="36">
        <f t="shared" si="58"/>
        <v>0</v>
      </c>
      <c r="W134" s="35"/>
      <c r="X134" s="450" t="s">
        <v>540</v>
      </c>
      <c r="Y134" s="49"/>
      <c r="Z134" s="96" t="s">
        <v>216</v>
      </c>
      <c r="AD134" s="83"/>
      <c r="AE134" s="83"/>
    </row>
    <row r="135" spans="1:31" s="50" customFormat="1" ht="38.25">
      <c r="A135" s="51">
        <v>76</v>
      </c>
      <c r="B135" s="52" t="s">
        <v>214</v>
      </c>
      <c r="C135" s="51" t="s">
        <v>107</v>
      </c>
      <c r="D135" s="3"/>
      <c r="E135" s="11">
        <f t="shared" si="42"/>
        <v>12494332</v>
      </c>
      <c r="F135" s="12">
        <v>10379022</v>
      </c>
      <c r="G135" s="12">
        <f>304728+821557+401438</f>
        <v>1527723</v>
      </c>
      <c r="H135" s="12"/>
      <c r="I135" s="12"/>
      <c r="J135" s="12">
        <v>587587</v>
      </c>
      <c r="K135" s="12">
        <f t="shared" si="56"/>
        <v>10379022</v>
      </c>
      <c r="L135" s="12"/>
      <c r="M135" s="13"/>
      <c r="N135" s="14"/>
      <c r="O135" s="26">
        <f t="shared" si="51"/>
        <v>0</v>
      </c>
      <c r="P135" s="65"/>
      <c r="Q135" s="24">
        <f t="shared" si="57"/>
        <v>3666000</v>
      </c>
      <c r="R135" s="54">
        <v>3666000</v>
      </c>
      <c r="S135" s="47"/>
      <c r="T135" s="54"/>
      <c r="U135" s="54"/>
      <c r="V135" s="36">
        <f t="shared" si="58"/>
        <v>0</v>
      </c>
      <c r="W135" s="35"/>
      <c r="X135" s="450" t="s">
        <v>540</v>
      </c>
      <c r="Y135" s="49"/>
      <c r="Z135" s="96" t="s">
        <v>216</v>
      </c>
      <c r="AD135" s="83"/>
      <c r="AE135" s="83"/>
    </row>
    <row r="136" spans="1:31" s="72" customFormat="1" ht="44.25" customHeight="1">
      <c r="A136" s="2" t="s">
        <v>435</v>
      </c>
      <c r="B136" s="67" t="s">
        <v>434</v>
      </c>
      <c r="C136" s="44"/>
      <c r="D136" s="44"/>
      <c r="E136" s="146">
        <f t="shared" ref="E136:O136" si="59">SUM(E137:E138)</f>
        <v>1494773</v>
      </c>
      <c r="F136" s="146">
        <f t="shared" si="59"/>
        <v>1009507</v>
      </c>
      <c r="G136" s="146">
        <f t="shared" si="59"/>
        <v>175991</v>
      </c>
      <c r="H136" s="146">
        <f t="shared" si="59"/>
        <v>250000</v>
      </c>
      <c r="I136" s="146">
        <f t="shared" si="59"/>
        <v>0</v>
      </c>
      <c r="J136" s="146">
        <f t="shared" si="59"/>
        <v>59275</v>
      </c>
      <c r="K136" s="146">
        <f t="shared" si="59"/>
        <v>1009507</v>
      </c>
      <c r="L136" s="146">
        <f t="shared" si="59"/>
        <v>505693</v>
      </c>
      <c r="M136" s="146">
        <f t="shared" si="59"/>
        <v>0</v>
      </c>
      <c r="N136" s="146">
        <f t="shared" si="59"/>
        <v>0</v>
      </c>
      <c r="O136" s="146">
        <f t="shared" si="59"/>
        <v>0</v>
      </c>
      <c r="P136" s="2"/>
      <c r="Q136" s="146">
        <f>SUM(Q137:Q138)</f>
        <v>1379000</v>
      </c>
      <c r="R136" s="146">
        <f>SUM(R137:R138)</f>
        <v>1379000</v>
      </c>
      <c r="S136" s="146">
        <f>SUM(S137:S138)</f>
        <v>0</v>
      </c>
      <c r="T136" s="146">
        <f>SUM(T137:T138)</f>
        <v>0</v>
      </c>
      <c r="U136" s="146">
        <f>SUM(U137:U138)</f>
        <v>0</v>
      </c>
      <c r="V136" s="94">
        <f t="shared" si="58"/>
        <v>0</v>
      </c>
      <c r="W136" s="146">
        <f>SUM(W137:W138)</f>
        <v>0</v>
      </c>
      <c r="X136" s="2"/>
      <c r="Y136" s="95"/>
      <c r="AD136" s="150"/>
      <c r="AE136" s="150"/>
    </row>
    <row r="137" spans="1:31" s="50" customFormat="1" ht="90" customHeight="1">
      <c r="A137" s="51">
        <v>77</v>
      </c>
      <c r="B137" s="52" t="s">
        <v>432</v>
      </c>
      <c r="C137" s="51" t="s">
        <v>436</v>
      </c>
      <c r="D137" s="3" t="s">
        <v>528</v>
      </c>
      <c r="E137" s="11">
        <f t="shared" si="42"/>
        <v>661205</v>
      </c>
      <c r="F137" s="12">
        <v>532308</v>
      </c>
      <c r="G137" s="12">
        <f>13371+67897+16143</f>
        <v>97411</v>
      </c>
      <c r="H137" s="12"/>
      <c r="I137" s="12"/>
      <c r="J137" s="12">
        <v>31486</v>
      </c>
      <c r="K137" s="12">
        <f t="shared" si="56"/>
        <v>532308</v>
      </c>
      <c r="L137" s="12">
        <v>505693</v>
      </c>
      <c r="M137" s="14" t="s">
        <v>555</v>
      </c>
      <c r="N137" s="14" t="s">
        <v>556</v>
      </c>
      <c r="O137" s="26"/>
      <c r="P137" s="65"/>
      <c r="Q137" s="24">
        <f t="shared" si="57"/>
        <v>711000</v>
      </c>
      <c r="R137" s="54">
        <v>711000</v>
      </c>
      <c r="S137" s="47"/>
      <c r="T137" s="54"/>
      <c r="U137" s="54"/>
      <c r="V137" s="36">
        <f t="shared" si="58"/>
        <v>0</v>
      </c>
      <c r="W137" s="35"/>
      <c r="X137" s="171" t="s">
        <v>465</v>
      </c>
      <c r="Y137" s="49"/>
      <c r="Z137" s="96" t="s">
        <v>438</v>
      </c>
      <c r="AD137" s="83"/>
      <c r="AE137" s="83"/>
    </row>
    <row r="138" spans="1:31" s="50" customFormat="1" ht="71.25" customHeight="1">
      <c r="A138" s="60">
        <v>78</v>
      </c>
      <c r="B138" s="63" t="s">
        <v>433</v>
      </c>
      <c r="C138" s="60" t="s">
        <v>436</v>
      </c>
      <c r="D138" s="136" t="s">
        <v>539</v>
      </c>
      <c r="E138" s="100">
        <f t="shared" si="42"/>
        <v>833568</v>
      </c>
      <c r="F138" s="101">
        <v>477199</v>
      </c>
      <c r="G138" s="101">
        <f>11986+51553+15041</f>
        <v>78580</v>
      </c>
      <c r="H138" s="101">
        <v>250000</v>
      </c>
      <c r="I138" s="101"/>
      <c r="J138" s="101">
        <v>27789</v>
      </c>
      <c r="K138" s="101">
        <f t="shared" si="56"/>
        <v>477199</v>
      </c>
      <c r="L138" s="101"/>
      <c r="M138" s="46"/>
      <c r="N138" s="102"/>
      <c r="O138" s="103"/>
      <c r="P138" s="104"/>
      <c r="Q138" s="105">
        <f t="shared" si="57"/>
        <v>668000</v>
      </c>
      <c r="R138" s="106">
        <v>668000</v>
      </c>
      <c r="S138" s="107"/>
      <c r="T138" s="106"/>
      <c r="U138" s="106"/>
      <c r="V138" s="108">
        <f t="shared" si="58"/>
        <v>0</v>
      </c>
      <c r="W138" s="109"/>
      <c r="X138" s="449" t="s">
        <v>538</v>
      </c>
      <c r="Y138" s="49"/>
      <c r="Z138" s="96" t="s">
        <v>438</v>
      </c>
      <c r="AD138" s="83"/>
      <c r="AE138" s="83"/>
    </row>
    <row r="140" spans="1:31">
      <c r="A140" s="90"/>
      <c r="B140" s="6" t="s">
        <v>261</v>
      </c>
      <c r="C140" s="6"/>
      <c r="D140" s="6"/>
      <c r="F140" s="6"/>
      <c r="G140" s="6"/>
      <c r="H140" s="6"/>
      <c r="I140" s="6"/>
      <c r="J140" s="6"/>
      <c r="K140" s="752">
        <f>SUM(K141:L143)</f>
        <v>343516757000</v>
      </c>
      <c r="L140" s="752"/>
      <c r="M140" s="6" t="s">
        <v>90</v>
      </c>
      <c r="N140" s="6"/>
      <c r="O140" s="88"/>
      <c r="P140" s="88"/>
      <c r="Q140" s="88"/>
      <c r="R140" s="27"/>
      <c r="S140" s="6"/>
      <c r="T140" s="88"/>
      <c r="U140" s="55"/>
      <c r="V140" s="88"/>
      <c r="W140" s="88"/>
      <c r="X140" s="56"/>
    </row>
    <row r="141" spans="1:31">
      <c r="B141" s="5" t="s">
        <v>85</v>
      </c>
      <c r="D141" s="768"/>
      <c r="E141" s="768"/>
      <c r="F141" s="754"/>
      <c r="G141" s="754"/>
      <c r="K141" s="751">
        <f>R8*1000</f>
        <v>264477662000</v>
      </c>
      <c r="L141" s="751"/>
      <c r="M141" s="5" t="s">
        <v>90</v>
      </c>
      <c r="O141" s="87"/>
      <c r="R141" s="5"/>
      <c r="T141" s="87"/>
      <c r="U141" s="57"/>
      <c r="V141" s="87"/>
      <c r="X141" s="58"/>
    </row>
    <row r="142" spans="1:31">
      <c r="B142" s="5" t="s">
        <v>86</v>
      </c>
      <c r="D142" s="768"/>
      <c r="E142" s="768"/>
      <c r="F142" s="754"/>
      <c r="G142" s="754"/>
      <c r="K142" s="751">
        <f>S8*1000</f>
        <v>79039095000</v>
      </c>
      <c r="L142" s="751"/>
      <c r="M142" s="5" t="s">
        <v>90</v>
      </c>
      <c r="O142" s="87"/>
      <c r="R142" s="5"/>
      <c r="T142" s="87"/>
      <c r="U142" s="57"/>
      <c r="V142" s="87"/>
      <c r="X142" s="58"/>
    </row>
    <row r="143" spans="1:31" hidden="1">
      <c r="B143" s="5" t="s">
        <v>87</v>
      </c>
      <c r="D143" s="768"/>
      <c r="E143" s="768"/>
      <c r="F143" s="754"/>
      <c r="G143" s="754"/>
      <c r="K143" s="751">
        <f>T8*1000</f>
        <v>0</v>
      </c>
      <c r="L143" s="751"/>
      <c r="M143" s="5" t="s">
        <v>90</v>
      </c>
      <c r="O143" s="87"/>
      <c r="R143" s="5"/>
      <c r="T143" s="87"/>
      <c r="U143" s="57"/>
      <c r="V143" s="87"/>
      <c r="X143" s="58"/>
    </row>
    <row r="144" spans="1:31">
      <c r="A144" s="90"/>
      <c r="B144" s="6" t="s">
        <v>88</v>
      </c>
      <c r="C144" s="6"/>
      <c r="D144" s="766"/>
      <c r="E144" s="766"/>
      <c r="F144" s="767"/>
      <c r="G144" s="767"/>
      <c r="H144" s="6"/>
      <c r="I144" s="6"/>
      <c r="J144" s="6"/>
      <c r="K144" s="752">
        <f>U8*1000</f>
        <v>30088876000</v>
      </c>
      <c r="L144" s="752"/>
      <c r="M144" s="6" t="s">
        <v>90</v>
      </c>
      <c r="N144" s="5" t="s">
        <v>91</v>
      </c>
      <c r="O144" s="59">
        <f>K144/K140*100</f>
        <v>8.7590708129560024</v>
      </c>
      <c r="P144" s="5" t="s">
        <v>89</v>
      </c>
      <c r="Q144" s="88"/>
      <c r="R144" s="6"/>
      <c r="S144" s="6"/>
      <c r="T144" s="88"/>
      <c r="U144" s="55"/>
      <c r="V144" s="88"/>
      <c r="W144" s="88"/>
      <c r="X144" s="56"/>
    </row>
    <row r="145" spans="2:24">
      <c r="B145" s="5" t="s">
        <v>85</v>
      </c>
      <c r="E145" s="5"/>
      <c r="F145" s="56"/>
      <c r="K145" s="751">
        <f>'Trước 13 hàng tháng'!L143*1000</f>
        <v>24547185000</v>
      </c>
      <c r="L145" s="751"/>
      <c r="M145" s="5" t="s">
        <v>90</v>
      </c>
      <c r="N145" s="5" t="s">
        <v>91</v>
      </c>
      <c r="O145" s="30">
        <f>K145/K141*100</f>
        <v>9.2813830908713957</v>
      </c>
      <c r="P145" s="5" t="s">
        <v>89</v>
      </c>
      <c r="R145" s="5"/>
      <c r="T145" s="87"/>
      <c r="U145" s="57"/>
      <c r="V145" s="87"/>
      <c r="X145" s="58"/>
    </row>
    <row r="146" spans="2:24">
      <c r="B146" s="5" t="s">
        <v>86</v>
      </c>
      <c r="E146" s="5"/>
      <c r="F146" s="56"/>
      <c r="K146" s="751">
        <f>'Trước 13 hàng tháng'!K143*1000</f>
        <v>5541691000</v>
      </c>
      <c r="L146" s="751"/>
      <c r="M146" s="5" t="s">
        <v>90</v>
      </c>
      <c r="N146" s="5" t="s">
        <v>91</v>
      </c>
      <c r="O146" s="30">
        <f>K146/K142*100</f>
        <v>7.0113290138253737</v>
      </c>
      <c r="P146" s="5" t="s">
        <v>89</v>
      </c>
      <c r="R146" s="5"/>
      <c r="T146" s="87"/>
      <c r="U146" s="57"/>
      <c r="V146" s="87"/>
      <c r="X146" s="58"/>
    </row>
    <row r="147" spans="2:24">
      <c r="B147" s="6" t="s">
        <v>97</v>
      </c>
      <c r="E147" s="5"/>
      <c r="F147" s="56"/>
      <c r="K147" s="751">
        <f>O8*1000</f>
        <v>125790414830</v>
      </c>
      <c r="L147" s="751"/>
      <c r="M147" s="5" t="s">
        <v>90</v>
      </c>
      <c r="O147" s="30"/>
      <c r="P147" s="5"/>
      <c r="R147" s="5"/>
      <c r="T147" s="87"/>
      <c r="U147" s="57"/>
      <c r="V147" s="87"/>
      <c r="X147" s="58"/>
    </row>
    <row r="148" spans="2:24">
      <c r="B148" s="6"/>
      <c r="E148" s="5"/>
      <c r="F148" s="56"/>
      <c r="K148" s="133"/>
      <c r="L148" s="133"/>
      <c r="M148" s="5"/>
      <c r="O148" s="30"/>
      <c r="P148" s="5"/>
      <c r="Q148" s="132"/>
      <c r="R148" s="5"/>
      <c r="T148" s="132"/>
      <c r="U148" s="57"/>
      <c r="V148" s="132"/>
      <c r="W148" s="132"/>
      <c r="X148" s="58"/>
    </row>
    <row r="149" spans="2:24">
      <c r="B149" s="6"/>
      <c r="E149" s="5"/>
      <c r="F149" s="56"/>
      <c r="K149" s="133"/>
      <c r="L149" s="133"/>
      <c r="M149" s="5"/>
      <c r="O149" s="30"/>
      <c r="P149" s="5"/>
      <c r="Q149" s="132"/>
      <c r="R149" s="5"/>
      <c r="T149" s="132"/>
      <c r="U149" s="57"/>
      <c r="V149" s="132"/>
      <c r="W149" s="132"/>
      <c r="X149" s="58"/>
    </row>
    <row r="150" spans="2:24">
      <c r="B150" s="6"/>
      <c r="E150" s="5"/>
      <c r="F150" s="56"/>
      <c r="K150" s="133"/>
      <c r="L150" s="133"/>
      <c r="M150" s="5"/>
      <c r="O150" s="30"/>
      <c r="P150" s="5"/>
      <c r="Q150" s="132"/>
      <c r="R150" s="5"/>
      <c r="T150" s="132"/>
      <c r="U150" s="57"/>
      <c r="V150" s="132"/>
      <c r="W150" s="132"/>
      <c r="X150" s="58"/>
    </row>
    <row r="151" spans="2:24">
      <c r="B151" s="6"/>
      <c r="E151" s="5"/>
      <c r="F151" s="56"/>
      <c r="K151" s="133"/>
      <c r="L151" s="133"/>
      <c r="M151" s="5"/>
      <c r="O151" s="30"/>
      <c r="P151" s="5"/>
      <c r="Q151" s="132"/>
      <c r="R151" s="5"/>
      <c r="T151" s="132"/>
      <c r="U151" s="57"/>
      <c r="V151" s="132"/>
      <c r="W151" s="132"/>
      <c r="X151" s="58"/>
    </row>
    <row r="152" spans="2:24">
      <c r="B152" s="6"/>
      <c r="E152" s="5"/>
      <c r="F152" s="56"/>
      <c r="K152" s="133"/>
      <c r="L152" s="133"/>
      <c r="M152" s="5"/>
      <c r="O152" s="30"/>
      <c r="P152" s="5"/>
      <c r="Q152" s="132"/>
      <c r="R152" s="5"/>
      <c r="T152" s="132"/>
      <c r="U152" s="57"/>
      <c r="V152" s="132"/>
      <c r="W152" s="132"/>
      <c r="X152" s="58"/>
    </row>
    <row r="153" spans="2:24">
      <c r="B153" s="6"/>
      <c r="E153" s="5"/>
      <c r="F153" s="56"/>
      <c r="K153" s="133"/>
      <c r="L153" s="133"/>
      <c r="M153" s="5"/>
      <c r="O153" s="30"/>
      <c r="P153" s="5"/>
      <c r="Q153" s="132"/>
      <c r="R153" s="5"/>
      <c r="T153" s="132"/>
      <c r="U153" s="57"/>
      <c r="V153" s="132"/>
      <c r="W153" s="132"/>
      <c r="X153" s="58"/>
    </row>
    <row r="154" spans="2:24">
      <c r="B154" s="6"/>
      <c r="E154" s="5"/>
      <c r="F154" s="56"/>
      <c r="K154" s="133"/>
      <c r="L154" s="133"/>
      <c r="M154" s="5"/>
      <c r="O154" s="30"/>
      <c r="P154" s="5"/>
      <c r="Q154" s="132"/>
      <c r="R154" s="5"/>
      <c r="T154" s="132"/>
      <c r="U154" s="57"/>
      <c r="V154" s="132"/>
      <c r="W154" s="132"/>
      <c r="X154" s="58"/>
    </row>
    <row r="155" spans="2:24">
      <c r="B155" s="6"/>
      <c r="E155" s="5"/>
      <c r="F155" s="56"/>
      <c r="K155" s="133"/>
      <c r="L155" s="133"/>
      <c r="M155" s="5"/>
      <c r="O155" s="30"/>
      <c r="P155" s="5"/>
      <c r="Q155" s="132"/>
      <c r="R155" s="5"/>
      <c r="T155" s="132"/>
      <c r="U155" s="57"/>
      <c r="V155" s="132"/>
      <c r="W155" s="132"/>
      <c r="X155" s="58"/>
    </row>
    <row r="156" spans="2:24">
      <c r="B156" s="6"/>
      <c r="E156" s="5"/>
      <c r="F156" s="56"/>
      <c r="K156" s="133"/>
      <c r="L156" s="133"/>
      <c r="M156" s="5"/>
      <c r="O156" s="30"/>
      <c r="P156" s="5"/>
      <c r="Q156" s="132"/>
      <c r="R156" s="5"/>
      <c r="T156" s="132"/>
      <c r="U156" s="57"/>
      <c r="V156" s="132"/>
      <c r="W156" s="132"/>
      <c r="X156" s="58"/>
    </row>
    <row r="157" spans="2:24">
      <c r="B157" s="6"/>
      <c r="E157" s="5"/>
      <c r="F157" s="56"/>
      <c r="K157" s="133"/>
      <c r="L157" s="133"/>
      <c r="M157" s="5"/>
      <c r="O157" s="30"/>
      <c r="P157" s="5"/>
      <c r="Q157" s="132"/>
      <c r="R157" s="5"/>
      <c r="T157" s="132"/>
      <c r="U157" s="57"/>
      <c r="V157" s="132"/>
      <c r="W157" s="132"/>
      <c r="X157" s="58"/>
    </row>
    <row r="158" spans="2:24">
      <c r="B158" s="6"/>
      <c r="E158" s="5"/>
      <c r="F158" s="56"/>
      <c r="K158" s="133"/>
      <c r="L158" s="133"/>
      <c r="M158" s="5"/>
      <c r="O158" s="30"/>
      <c r="P158" s="5"/>
      <c r="Q158" s="132"/>
      <c r="R158" s="5"/>
      <c r="T158" s="132"/>
      <c r="U158" s="57"/>
      <c r="V158" s="132"/>
      <c r="W158" s="132"/>
      <c r="X158" s="58"/>
    </row>
    <row r="159" spans="2:24">
      <c r="B159" s="6"/>
      <c r="E159" s="5"/>
      <c r="F159" s="56"/>
      <c r="K159" s="133"/>
      <c r="L159" s="133"/>
      <c r="M159" s="5"/>
      <c r="O159" s="30"/>
      <c r="P159" s="5"/>
      <c r="Q159" s="132"/>
      <c r="R159" s="5"/>
      <c r="T159" s="132"/>
      <c r="U159" s="57"/>
      <c r="V159" s="132"/>
      <c r="W159" s="132"/>
      <c r="X159" s="58"/>
    </row>
    <row r="160" spans="2:24">
      <c r="B160" s="6"/>
      <c r="E160" s="5"/>
      <c r="F160" s="56"/>
      <c r="K160" s="133"/>
      <c r="L160" s="133"/>
      <c r="M160" s="5"/>
      <c r="O160" s="30"/>
      <c r="P160" s="5"/>
      <c r="Q160" s="132"/>
      <c r="R160" s="5"/>
      <c r="T160" s="132"/>
      <c r="U160" s="57"/>
      <c r="V160" s="132"/>
      <c r="W160" s="132"/>
      <c r="X160" s="58"/>
    </row>
    <row r="161" spans="2:24">
      <c r="B161" s="6"/>
      <c r="E161" s="5"/>
      <c r="F161" s="56"/>
      <c r="K161" s="133"/>
      <c r="L161" s="133"/>
      <c r="M161" s="5"/>
      <c r="O161" s="30"/>
      <c r="P161" s="5"/>
      <c r="Q161" s="132"/>
      <c r="R161" s="5"/>
      <c r="T161" s="132"/>
      <c r="U161" s="57"/>
      <c r="V161" s="132"/>
      <c r="W161" s="132"/>
      <c r="X161" s="58"/>
    </row>
    <row r="162" spans="2:24">
      <c r="B162" s="6"/>
      <c r="E162" s="5"/>
      <c r="F162" s="56"/>
      <c r="K162" s="133"/>
      <c r="L162" s="133"/>
      <c r="M162" s="5"/>
      <c r="O162" s="30"/>
      <c r="P162" s="5"/>
      <c r="Q162" s="132"/>
      <c r="R162" s="5"/>
      <c r="T162" s="132"/>
      <c r="U162" s="57"/>
      <c r="V162" s="132"/>
      <c r="W162" s="132"/>
      <c r="X162" s="58"/>
    </row>
    <row r="163" spans="2:24">
      <c r="B163" s="6"/>
      <c r="E163" s="5"/>
      <c r="F163" s="56"/>
      <c r="K163" s="133"/>
      <c r="L163" s="133"/>
      <c r="M163" s="5"/>
      <c r="O163" s="30"/>
      <c r="P163" s="5"/>
      <c r="Q163" s="132"/>
      <c r="R163" s="5"/>
      <c r="T163" s="132"/>
      <c r="U163" s="57"/>
      <c r="V163" s="132"/>
      <c r="W163" s="132"/>
      <c r="X163" s="58"/>
    </row>
    <row r="164" spans="2:24">
      <c r="B164" s="6"/>
      <c r="E164" s="5"/>
      <c r="F164" s="56"/>
      <c r="K164" s="133"/>
      <c r="L164" s="133"/>
      <c r="M164" s="5"/>
      <c r="O164" s="30"/>
      <c r="P164" s="5"/>
      <c r="Q164" s="132"/>
      <c r="R164" s="5"/>
      <c r="T164" s="132"/>
      <c r="U164" s="57"/>
      <c r="V164" s="132"/>
      <c r="W164" s="132"/>
      <c r="X164" s="58"/>
    </row>
    <row r="165" spans="2:24">
      <c r="B165" s="6"/>
      <c r="E165" s="5"/>
      <c r="F165" s="56"/>
      <c r="K165" s="133"/>
      <c r="L165" s="133"/>
      <c r="M165" s="5"/>
      <c r="O165" s="30"/>
      <c r="P165" s="5"/>
      <c r="Q165" s="132"/>
      <c r="R165" s="5"/>
      <c r="T165" s="132"/>
      <c r="U165" s="57"/>
      <c r="V165" s="132"/>
      <c r="W165" s="132"/>
      <c r="X165" s="58"/>
    </row>
    <row r="166" spans="2:24">
      <c r="B166" s="6"/>
      <c r="E166" s="5"/>
      <c r="F166" s="56"/>
      <c r="K166" s="135"/>
      <c r="L166" s="135"/>
      <c r="M166" s="5"/>
      <c r="O166" s="30"/>
      <c r="P166" s="5"/>
      <c r="Q166" s="134"/>
      <c r="R166" s="5"/>
      <c r="T166" s="134"/>
      <c r="U166" s="57"/>
      <c r="V166" s="134"/>
      <c r="W166" s="134"/>
      <c r="X166" s="58"/>
    </row>
    <row r="167" spans="2:24">
      <c r="B167" s="6"/>
      <c r="E167" s="5"/>
      <c r="F167" s="56"/>
      <c r="K167" s="135"/>
      <c r="L167" s="135"/>
      <c r="M167" s="5"/>
      <c r="O167" s="30"/>
      <c r="P167" s="5"/>
      <c r="Q167" s="134"/>
      <c r="R167" s="5"/>
      <c r="T167" s="134"/>
      <c r="U167" s="57"/>
      <c r="V167" s="134"/>
      <c r="W167" s="134"/>
      <c r="X167" s="58"/>
    </row>
    <row r="168" spans="2:24">
      <c r="B168" s="6"/>
      <c r="E168" s="5"/>
      <c r="F168" s="56"/>
      <c r="K168" s="133"/>
      <c r="L168" s="133"/>
      <c r="M168" s="5"/>
      <c r="O168" s="30"/>
      <c r="P168" s="5"/>
      <c r="Q168" s="132"/>
      <c r="R168" s="5"/>
      <c r="T168" s="132"/>
      <c r="U168" s="57"/>
      <c r="V168" s="132"/>
      <c r="W168" s="132"/>
      <c r="X168" s="58"/>
    </row>
    <row r="169" spans="2:24">
      <c r="B169" s="6"/>
      <c r="E169" s="5"/>
      <c r="F169" s="56"/>
      <c r="K169" s="133"/>
      <c r="L169" s="133"/>
      <c r="M169" s="5"/>
      <c r="O169" s="30"/>
      <c r="P169" s="5"/>
      <c r="Q169" s="132"/>
      <c r="R169" s="5"/>
      <c r="T169" s="132"/>
      <c r="U169" s="57"/>
      <c r="V169" s="132"/>
      <c r="W169" s="132"/>
      <c r="X169" s="58"/>
    </row>
    <row r="170" spans="2:24" ht="14.25" customHeight="1">
      <c r="B170" s="6"/>
      <c r="E170" s="5"/>
      <c r="F170" s="56"/>
      <c r="K170" s="133"/>
      <c r="L170" s="133"/>
      <c r="M170" s="5"/>
      <c r="O170" s="30"/>
      <c r="P170" s="5"/>
      <c r="Q170" s="132"/>
      <c r="R170" s="5"/>
      <c r="T170" s="132"/>
      <c r="U170" s="57"/>
      <c r="V170" s="132"/>
      <c r="W170" s="132"/>
      <c r="X170" s="58"/>
    </row>
    <row r="171" spans="2:24" ht="14.25" customHeight="1">
      <c r="B171" s="6"/>
      <c r="E171" s="5"/>
      <c r="F171" s="56"/>
      <c r="K171" s="135"/>
      <c r="L171" s="135"/>
      <c r="M171" s="5"/>
      <c r="O171" s="30"/>
      <c r="P171" s="5"/>
      <c r="Q171" s="134"/>
      <c r="R171" s="5"/>
      <c r="T171" s="134"/>
      <c r="U171" s="57"/>
      <c r="V171" s="134"/>
      <c r="W171" s="134"/>
      <c r="X171" s="58"/>
    </row>
    <row r="172" spans="2:24" ht="12" customHeight="1">
      <c r="B172" s="6"/>
      <c r="E172" s="5"/>
      <c r="F172" s="56"/>
      <c r="K172" s="133"/>
      <c r="L172" s="133"/>
      <c r="M172" s="5"/>
      <c r="O172" s="30"/>
      <c r="P172" s="5"/>
      <c r="Q172" s="132"/>
      <c r="R172" s="5"/>
      <c r="T172" s="132"/>
      <c r="U172" s="57"/>
      <c r="V172" s="132"/>
      <c r="W172" s="132"/>
      <c r="X172" s="58"/>
    </row>
    <row r="173" spans="2:24">
      <c r="B173" s="6"/>
      <c r="E173" s="5"/>
      <c r="F173" s="56"/>
      <c r="K173" s="133"/>
      <c r="L173" s="133"/>
      <c r="M173" s="5"/>
      <c r="O173" s="30"/>
      <c r="P173" s="5"/>
      <c r="Q173" s="132"/>
      <c r="R173" s="5"/>
      <c r="T173" s="132"/>
      <c r="U173" s="57"/>
      <c r="V173" s="132"/>
      <c r="W173" s="132"/>
      <c r="X173" s="58"/>
    </row>
  </sheetData>
  <mergeCells count="44">
    <mergeCell ref="A2:X2"/>
    <mergeCell ref="U4:U6"/>
    <mergeCell ref="W4:W6"/>
    <mergeCell ref="D141:E141"/>
    <mergeCell ref="D142:E142"/>
    <mergeCell ref="Q4:T4"/>
    <mergeCell ref="S5:T5"/>
    <mergeCell ref="H5:H6"/>
    <mergeCell ref="I5:I6"/>
    <mergeCell ref="K147:L147"/>
    <mergeCell ref="D144:E144"/>
    <mergeCell ref="F141:G141"/>
    <mergeCell ref="K143:L143"/>
    <mergeCell ref="F143:G143"/>
    <mergeCell ref="K146:L146"/>
    <mergeCell ref="F144:G144"/>
    <mergeCell ref="D143:E143"/>
    <mergeCell ref="A1:X1"/>
    <mergeCell ref="A4:A6"/>
    <mergeCell ref="B4:B6"/>
    <mergeCell ref="C4:C6"/>
    <mergeCell ref="D4:J4"/>
    <mergeCell ref="L4:L6"/>
    <mergeCell ref="O4:P5"/>
    <mergeCell ref="X4:X6"/>
    <mergeCell ref="G5:G6"/>
    <mergeCell ref="Q5:Q6"/>
    <mergeCell ref="D5:D6"/>
    <mergeCell ref="E5:E6"/>
    <mergeCell ref="J5:J6"/>
    <mergeCell ref="N4:N6"/>
    <mergeCell ref="F5:F6"/>
    <mergeCell ref="R5:R6"/>
    <mergeCell ref="Y14:Z14"/>
    <mergeCell ref="K145:L145"/>
    <mergeCell ref="K144:L144"/>
    <mergeCell ref="V4:V6"/>
    <mergeCell ref="F142:G142"/>
    <mergeCell ref="M4:M6"/>
    <mergeCell ref="K4:K6"/>
    <mergeCell ref="Z39:AA39"/>
    <mergeCell ref="K141:L141"/>
    <mergeCell ref="K142:L142"/>
    <mergeCell ref="K140:L140"/>
  </mergeCells>
  <phoneticPr fontId="2" type="noConversion"/>
  <pageMargins left="0.2" right="0.2" top="0.69" bottom="0.33" header="0.35" footer="0.2"/>
  <pageSetup paperSize="9" scale="65" orientation="landscape"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workbookViewId="0">
      <selection activeCell="A6" sqref="A6:Q6"/>
    </sheetView>
  </sheetViews>
  <sheetFormatPr defaultRowHeight="15.75"/>
  <cols>
    <col min="1" max="1" width="5.85546875" style="230" customWidth="1"/>
    <col min="2" max="2" width="26.42578125" style="229" customWidth="1"/>
    <col min="3" max="3" width="9.140625" style="230" customWidth="1"/>
    <col min="4" max="4" width="9.28515625" style="230" customWidth="1"/>
    <col min="5" max="5" width="6.5703125" style="229" customWidth="1"/>
    <col min="6" max="6" width="7.85546875" style="229" customWidth="1"/>
    <col min="7" max="7" width="9.85546875" style="229" customWidth="1"/>
    <col min="8" max="8" width="10.85546875" style="229" customWidth="1"/>
    <col min="9" max="9" width="8" style="229" customWidth="1"/>
    <col min="10" max="10" width="9" style="229" customWidth="1"/>
    <col min="11" max="11" width="9.42578125" style="229" customWidth="1"/>
    <col min="12" max="12" width="7.7109375" style="229" customWidth="1"/>
    <col min="13" max="14" width="8.5703125" style="229" customWidth="1"/>
    <col min="15" max="15" width="9.85546875" style="229" customWidth="1"/>
    <col min="16" max="16" width="8.5703125" style="229" customWidth="1"/>
    <col min="17" max="17" width="7.42578125" style="230" customWidth="1"/>
    <col min="18" max="18" width="16" style="229" customWidth="1"/>
    <col min="19" max="16384" width="9.140625" style="229"/>
  </cols>
  <sheetData>
    <row r="1" spans="1:18" s="251" customFormat="1" ht="16.899999999999999" customHeight="1">
      <c r="A1" s="774" t="s">
        <v>0</v>
      </c>
      <c r="B1" s="774"/>
      <c r="C1" s="249"/>
      <c r="D1" s="249"/>
      <c r="E1" s="250"/>
      <c r="F1" s="249"/>
      <c r="G1" s="249"/>
      <c r="H1" s="770" t="s">
        <v>319</v>
      </c>
      <c r="I1" s="770"/>
      <c r="J1" s="770"/>
      <c r="K1" s="770"/>
      <c r="L1" s="770"/>
      <c r="M1" s="770"/>
      <c r="N1" s="770"/>
      <c r="O1" s="770"/>
      <c r="P1" s="770"/>
      <c r="Q1" s="770"/>
    </row>
    <row r="2" spans="1:18" s="251" customFormat="1" ht="16.899999999999999" customHeight="1">
      <c r="A2" s="775" t="s">
        <v>1</v>
      </c>
      <c r="B2" s="775"/>
      <c r="C2" s="249"/>
      <c r="D2" s="249"/>
      <c r="E2" s="252"/>
      <c r="H2" s="771" t="s">
        <v>320</v>
      </c>
      <c r="I2" s="771"/>
      <c r="J2" s="771"/>
      <c r="K2" s="771"/>
      <c r="L2" s="771"/>
      <c r="M2" s="771"/>
      <c r="N2" s="771"/>
      <c r="O2" s="771"/>
      <c r="P2" s="771"/>
      <c r="Q2" s="771"/>
    </row>
    <row r="3" spans="1:18" s="251" customFormat="1" ht="12.75">
      <c r="A3" s="775" t="s">
        <v>36</v>
      </c>
      <c r="B3" s="775"/>
      <c r="C3" s="252"/>
      <c r="D3" s="252"/>
      <c r="E3" s="252"/>
      <c r="F3" s="252"/>
      <c r="G3" s="252"/>
      <c r="I3" s="253"/>
      <c r="K3" s="253"/>
      <c r="L3" s="253"/>
      <c r="M3" s="253"/>
      <c r="N3" s="253"/>
      <c r="O3" s="253"/>
      <c r="P3" s="253"/>
      <c r="Q3" s="252"/>
    </row>
    <row r="4" spans="1:18" s="251" customFormat="1" ht="18" customHeight="1">
      <c r="A4" s="774" t="s">
        <v>72</v>
      </c>
      <c r="B4" s="774"/>
      <c r="C4" s="254"/>
      <c r="D4" s="254"/>
      <c r="E4" s="255"/>
      <c r="F4" s="255"/>
      <c r="G4" s="255"/>
      <c r="H4" s="772" t="s">
        <v>599</v>
      </c>
      <c r="I4" s="772"/>
      <c r="J4" s="772"/>
      <c r="K4" s="772"/>
      <c r="L4" s="772"/>
      <c r="M4" s="772"/>
      <c r="N4" s="772"/>
      <c r="O4" s="772"/>
      <c r="P4" s="772"/>
      <c r="Q4" s="772"/>
    </row>
    <row r="5" spans="1:18" s="226" customFormat="1" ht="12.6" customHeight="1">
      <c r="A5" s="223"/>
      <c r="B5" s="222"/>
      <c r="C5" s="224"/>
      <c r="D5" s="225"/>
      <c r="E5" s="224"/>
      <c r="F5" s="224"/>
      <c r="H5" s="227"/>
      <c r="I5" s="227"/>
      <c r="J5" s="227"/>
      <c r="K5" s="227"/>
      <c r="L5" s="227"/>
      <c r="M5" s="227"/>
      <c r="N5" s="227"/>
      <c r="O5" s="227"/>
      <c r="P5" s="228"/>
      <c r="Q5" s="227"/>
    </row>
    <row r="6" spans="1:18" ht="43.15" customHeight="1">
      <c r="A6" s="773" t="s">
        <v>321</v>
      </c>
      <c r="B6" s="773"/>
      <c r="C6" s="773"/>
      <c r="D6" s="773"/>
      <c r="E6" s="773"/>
      <c r="F6" s="773"/>
      <c r="G6" s="773"/>
      <c r="H6" s="773"/>
      <c r="I6" s="773"/>
      <c r="J6" s="773"/>
      <c r="K6" s="773"/>
      <c r="L6" s="773"/>
      <c r="M6" s="773"/>
      <c r="N6" s="773"/>
      <c r="O6" s="773"/>
      <c r="P6" s="773"/>
      <c r="Q6" s="773"/>
    </row>
    <row r="7" spans="1:18" ht="13.15" customHeight="1"/>
    <row r="8" spans="1:18" s="230" customFormat="1" ht="20.25" customHeight="1">
      <c r="A8" s="776" t="s">
        <v>129</v>
      </c>
      <c r="B8" s="776" t="s">
        <v>322</v>
      </c>
      <c r="C8" s="776" t="s">
        <v>323</v>
      </c>
      <c r="D8" s="776" t="s">
        <v>324</v>
      </c>
      <c r="E8" s="776" t="s">
        <v>325</v>
      </c>
      <c r="F8" s="776"/>
      <c r="G8" s="776"/>
      <c r="H8" s="776"/>
      <c r="I8" s="776"/>
      <c r="J8" s="776"/>
      <c r="K8" s="776"/>
      <c r="L8" s="777" t="s">
        <v>600</v>
      </c>
      <c r="M8" s="777"/>
      <c r="N8" s="777"/>
      <c r="O8" s="777"/>
      <c r="P8" s="777"/>
      <c r="Q8" s="778" t="s">
        <v>326</v>
      </c>
    </row>
    <row r="9" spans="1:18" s="230" customFormat="1" ht="66" customHeight="1">
      <c r="A9" s="776"/>
      <c r="B9" s="776"/>
      <c r="C9" s="776"/>
      <c r="D9" s="776"/>
      <c r="E9" s="231" t="s">
        <v>327</v>
      </c>
      <c r="F9" s="231" t="s">
        <v>328</v>
      </c>
      <c r="G9" s="231" t="s">
        <v>329</v>
      </c>
      <c r="H9" s="231" t="s">
        <v>330</v>
      </c>
      <c r="I9" s="231" t="s">
        <v>331</v>
      </c>
      <c r="J9" s="231" t="s">
        <v>332</v>
      </c>
      <c r="K9" s="231" t="s">
        <v>333</v>
      </c>
      <c r="L9" s="232" t="s">
        <v>327</v>
      </c>
      <c r="M9" s="232" t="s">
        <v>331</v>
      </c>
      <c r="N9" s="232" t="s">
        <v>332</v>
      </c>
      <c r="O9" s="316" t="s">
        <v>334</v>
      </c>
      <c r="P9" s="316" t="s">
        <v>335</v>
      </c>
      <c r="Q9" s="778"/>
    </row>
    <row r="10" spans="1:18" s="236" customFormat="1" ht="18" customHeight="1">
      <c r="A10" s="231"/>
      <c r="B10" s="233" t="s">
        <v>137</v>
      </c>
      <c r="C10" s="231"/>
      <c r="D10" s="293">
        <f>D11+D23+D26</f>
        <v>21388.437000000002</v>
      </c>
      <c r="E10" s="234"/>
      <c r="F10" s="234"/>
      <c r="G10" s="234"/>
      <c r="H10" s="234"/>
      <c r="I10" s="293"/>
      <c r="J10" s="234"/>
      <c r="K10" s="293">
        <f>K11+K23+K26</f>
        <v>22416.664000000001</v>
      </c>
      <c r="L10" s="234"/>
      <c r="M10" s="234"/>
      <c r="N10" s="234"/>
      <c r="O10" s="235"/>
      <c r="P10" s="293">
        <f>P11+P23+P26</f>
        <v>5499.2270000000008</v>
      </c>
      <c r="Q10" s="242"/>
    </row>
    <row r="11" spans="1:18" s="243" customFormat="1" ht="29.25" customHeight="1">
      <c r="A11" s="256" t="s">
        <v>9</v>
      </c>
      <c r="B11" s="257" t="s">
        <v>336</v>
      </c>
      <c r="C11" s="256"/>
      <c r="D11" s="258">
        <f>SUM(D12:D22)</f>
        <v>10077.376</v>
      </c>
      <c r="E11" s="259"/>
      <c r="F11" s="259"/>
      <c r="G11" s="259"/>
      <c r="H11" s="259"/>
      <c r="I11" s="258"/>
      <c r="J11" s="259"/>
      <c r="K11" s="258">
        <f>SUM(K12:K22)</f>
        <v>16279.116000000002</v>
      </c>
      <c r="L11" s="259"/>
      <c r="M11" s="259"/>
      <c r="N11" s="259"/>
      <c r="O11" s="260"/>
      <c r="P11" s="258">
        <f>SUM(P12:P22)</f>
        <v>3079.585</v>
      </c>
      <c r="Q11" s="256"/>
    </row>
    <row r="12" spans="1:18" ht="56.25" customHeight="1">
      <c r="A12" s="261">
        <v>1</v>
      </c>
      <c r="B12" s="9" t="s">
        <v>11</v>
      </c>
      <c r="C12" s="262" t="str">
        <f>'BC UBND Huyện 15 hàng tháng'!C27</f>
        <v>xã BP</v>
      </c>
      <c r="D12" s="263">
        <f>'BC UBND Huyện 15 hàng tháng'!Q27/1000</f>
        <v>0</v>
      </c>
      <c r="E12" s="264"/>
      <c r="F12" s="264"/>
      <c r="G12" s="240" t="s">
        <v>349</v>
      </c>
      <c r="H12" s="241" t="s">
        <v>347</v>
      </c>
      <c r="I12" s="35">
        <v>1786</v>
      </c>
      <c r="J12" s="265"/>
      <c r="K12" s="265">
        <f>'BC UBND Huyện 15 hàng tháng'!E27/1000</f>
        <v>1379.201</v>
      </c>
      <c r="L12" s="265"/>
      <c r="M12" s="265"/>
      <c r="N12" s="265"/>
      <c r="O12" s="444"/>
      <c r="P12" s="265">
        <f>'BC UBND Huyện 15 hàng tháng'!U27/1000</f>
        <v>0</v>
      </c>
      <c r="Q12" s="267">
        <f>'BC UBND Huyện 15 hàng tháng'!P27</f>
        <v>95</v>
      </c>
      <c r="R12" s="237"/>
    </row>
    <row r="13" spans="1:18" ht="18" customHeight="1">
      <c r="A13" s="261">
        <v>2</v>
      </c>
      <c r="B13" s="52" t="s">
        <v>103</v>
      </c>
      <c r="C13" s="262" t="str">
        <f>'BC UBND Huyện 15 hàng tháng'!C28</f>
        <v>xã TTA</v>
      </c>
      <c r="D13" s="263">
        <f>'BC UBND Huyện 15 hàng tháng'!Q28/1000</f>
        <v>883.67</v>
      </c>
      <c r="E13" s="264"/>
      <c r="F13" s="264"/>
      <c r="G13" s="310" t="s">
        <v>368</v>
      </c>
      <c r="H13" s="241" t="s">
        <v>367</v>
      </c>
      <c r="I13" s="35">
        <v>2647</v>
      </c>
      <c r="J13" s="265"/>
      <c r="K13" s="265">
        <f>'BC UBND Huyện 15 hàng tháng'!E28/1000</f>
        <v>3273.71</v>
      </c>
      <c r="L13" s="265"/>
      <c r="M13" s="265"/>
      <c r="N13" s="265"/>
      <c r="O13" s="266"/>
      <c r="P13" s="265">
        <f>'BC UBND Huyện 15 hàng tháng'!U28/1000</f>
        <v>766.73699999999997</v>
      </c>
      <c r="Q13" s="267">
        <f>'BC UBND Huyện 15 hàng tháng'!P28</f>
        <v>100</v>
      </c>
      <c r="R13" s="237"/>
    </row>
    <row r="14" spans="1:18" ht="18" customHeight="1">
      <c r="A14" s="261">
        <v>3</v>
      </c>
      <c r="B14" s="52" t="s">
        <v>104</v>
      </c>
      <c r="C14" s="262" t="str">
        <f>'BC UBND Huyện 15 hàng tháng'!C29</f>
        <v>xã TCC</v>
      </c>
      <c r="D14" s="263">
        <f>'BC UBND Huyện 15 hàng tháng'!Q29/1000</f>
        <v>1855.596</v>
      </c>
      <c r="E14" s="264"/>
      <c r="F14" s="264"/>
      <c r="G14" s="240" t="s">
        <v>348</v>
      </c>
      <c r="H14" s="241" t="s">
        <v>350</v>
      </c>
      <c r="I14" s="35">
        <v>3838</v>
      </c>
      <c r="J14" s="265"/>
      <c r="K14" s="265">
        <f>'BC UBND Huyện 15 hàng tháng'!E29/1000</f>
        <v>3122.36</v>
      </c>
      <c r="L14" s="265"/>
      <c r="M14" s="265"/>
      <c r="N14" s="265"/>
      <c r="O14" s="266"/>
      <c r="P14" s="265">
        <f>'BC UBND Huyện 15 hàng tháng'!U29/1000</f>
        <v>1521.431</v>
      </c>
      <c r="Q14" s="267">
        <f>'BC UBND Huyện 15 hàng tháng'!P29</f>
        <v>90</v>
      </c>
      <c r="R14" s="237"/>
    </row>
    <row r="15" spans="1:18" s="414" customFormat="1" ht="30.75" customHeight="1">
      <c r="A15" s="403">
        <v>4</v>
      </c>
      <c r="B15" s="404" t="s">
        <v>121</v>
      </c>
      <c r="C15" s="405" t="str">
        <f>'BC UBND Huyện 15 hàng tháng'!C41</f>
        <v>xã TCC</v>
      </c>
      <c r="D15" s="406">
        <f>'BC UBND Huyện 15 hàng tháng'!Q41/1000</f>
        <v>515.48299999999995</v>
      </c>
      <c r="E15" s="407"/>
      <c r="F15" s="407"/>
      <c r="G15" s="408" t="s">
        <v>365</v>
      </c>
      <c r="H15" s="409" t="s">
        <v>364</v>
      </c>
      <c r="I15" s="410">
        <v>1063</v>
      </c>
      <c r="J15" s="411"/>
      <c r="K15" s="411">
        <f>'BC UBND Huyện 15 hàng tháng'!E41/1000</f>
        <v>1200.568</v>
      </c>
      <c r="L15" s="411"/>
      <c r="M15" s="411"/>
      <c r="N15" s="411"/>
      <c r="O15" s="412"/>
      <c r="P15" s="411">
        <f>'BC UBND Huyện 15 hàng tháng'!U41/1000</f>
        <v>515.48199999999997</v>
      </c>
      <c r="Q15" s="405">
        <f>'BC UBND Huyện 15 hàng tháng'!P41</f>
        <v>100</v>
      </c>
      <c r="R15" s="413"/>
    </row>
    <row r="16" spans="1:18" s="414" customFormat="1" ht="28.5" customHeight="1">
      <c r="A16" s="403">
        <v>5</v>
      </c>
      <c r="B16" s="404" t="s">
        <v>122</v>
      </c>
      <c r="C16" s="405" t="str">
        <f>'BC UBND Huyện 15 hàng tháng'!C42</f>
        <v>xã TCC</v>
      </c>
      <c r="D16" s="406">
        <f>'BC UBND Huyện 15 hàng tháng'!Q42/1000</f>
        <v>280.62700000000001</v>
      </c>
      <c r="E16" s="407"/>
      <c r="F16" s="407"/>
      <c r="G16" s="408" t="s">
        <v>365</v>
      </c>
      <c r="H16" s="409" t="s">
        <v>366</v>
      </c>
      <c r="I16" s="410">
        <v>1462</v>
      </c>
      <c r="J16" s="411"/>
      <c r="K16" s="411">
        <f>'BC UBND Huyện 15 hàng tháng'!E42/1000</f>
        <v>1202.672</v>
      </c>
      <c r="L16" s="411"/>
      <c r="M16" s="411"/>
      <c r="N16" s="411"/>
      <c r="O16" s="412"/>
      <c r="P16" s="411">
        <f>'BC UBND Huyện 15 hàng tháng'!U42/1000</f>
        <v>275.935</v>
      </c>
      <c r="Q16" s="405">
        <f>'BC UBND Huyện 15 hàng tháng'!P42</f>
        <v>100</v>
      </c>
      <c r="R16" s="413"/>
    </row>
    <row r="17" spans="1:18" ht="52.5" customHeight="1">
      <c r="A17" s="261">
        <v>6</v>
      </c>
      <c r="B17" s="52" t="s">
        <v>193</v>
      </c>
      <c r="C17" s="261" t="str">
        <f>'BC UBND Huyện 15 hàng tháng'!C108</f>
        <v>xã AP</v>
      </c>
      <c r="D17" s="263">
        <f>'BC UBND Huyện 15 hàng tháng'!Q108/1000</f>
        <v>720</v>
      </c>
      <c r="E17" s="264"/>
      <c r="F17" s="264"/>
      <c r="G17" s="240" t="s">
        <v>570</v>
      </c>
      <c r="H17" s="241" t="s">
        <v>572</v>
      </c>
      <c r="I17" s="267" t="s">
        <v>571</v>
      </c>
      <c r="J17" s="265"/>
      <c r="K17" s="265">
        <f>'BC UBND Huyện 15 hàng tháng'!E108/1000</f>
        <v>688.08199999999999</v>
      </c>
      <c r="L17" s="265"/>
      <c r="M17" s="265"/>
      <c r="N17" s="265"/>
      <c r="O17" s="266"/>
      <c r="P17" s="265">
        <f>'BC UBND Huyện 15 hàng tháng'!U108/1000</f>
        <v>0</v>
      </c>
      <c r="Q17" s="267">
        <f>'BC UBND Huyện 15 hàng tháng'!P108</f>
        <v>0</v>
      </c>
      <c r="R17" s="237"/>
    </row>
    <row r="18" spans="1:18" ht="18" customHeight="1">
      <c r="A18" s="261">
        <v>7</v>
      </c>
      <c r="B18" s="52" t="s">
        <v>194</v>
      </c>
      <c r="C18" s="261" t="str">
        <f>'BC UBND Huyện 15 hàng tháng'!C109</f>
        <v>xã TCC</v>
      </c>
      <c r="D18" s="263">
        <f>'BC UBND Huyện 15 hàng tháng'!Q109/1000</f>
        <v>300</v>
      </c>
      <c r="E18" s="264"/>
      <c r="F18" s="264"/>
      <c r="G18" s="264"/>
      <c r="H18" s="264"/>
      <c r="I18" s="265"/>
      <c r="J18" s="265"/>
      <c r="K18" s="265">
        <f>'BC UBND Huyện 15 hàng tháng'!E109/1000</f>
        <v>0</v>
      </c>
      <c r="L18" s="265"/>
      <c r="M18" s="265"/>
      <c r="N18" s="265"/>
      <c r="O18" s="266"/>
      <c r="P18" s="265">
        <f>'BC UBND Huyện 15 hàng tháng'!U109/1000</f>
        <v>0</v>
      </c>
      <c r="Q18" s="267">
        <f>'BC UBND Huyện 15 hàng tháng'!P109</f>
        <v>0</v>
      </c>
      <c r="R18" s="237"/>
    </row>
    <row r="19" spans="1:18" ht="45" customHeight="1">
      <c r="A19" s="261">
        <v>8</v>
      </c>
      <c r="B19" s="52" t="s">
        <v>262</v>
      </c>
      <c r="C19" s="261" t="str">
        <f>'BC UBND Huyện 15 hàng tháng'!C110</f>
        <v>xã TTA</v>
      </c>
      <c r="D19" s="263">
        <f>'BC UBND Huyện 15 hàng tháng'!Q110/1000</f>
        <v>500</v>
      </c>
      <c r="E19" s="264"/>
      <c r="F19" s="264"/>
      <c r="G19" s="240" t="s">
        <v>573</v>
      </c>
      <c r="H19" s="241" t="s">
        <v>574</v>
      </c>
      <c r="I19" s="265"/>
      <c r="J19" s="265"/>
      <c r="K19" s="265">
        <f>'BC UBND Huyện 15 hàng tháng'!E110/1000</f>
        <v>365.86799999999999</v>
      </c>
      <c r="L19" s="265"/>
      <c r="M19" s="265"/>
      <c r="N19" s="265"/>
      <c r="O19" s="266"/>
      <c r="P19" s="265">
        <f>'BC UBND Huyện 15 hàng tháng'!U110/1000</f>
        <v>0</v>
      </c>
      <c r="Q19" s="267">
        <f>'BC UBND Huyện 15 hàng tháng'!P110</f>
        <v>0</v>
      </c>
      <c r="R19" s="237"/>
    </row>
    <row r="20" spans="1:18" ht="66.75" customHeight="1">
      <c r="A20" s="261">
        <v>9</v>
      </c>
      <c r="B20" s="52" t="s">
        <v>195</v>
      </c>
      <c r="C20" s="261" t="str">
        <f>'BC UBND Huyện 15 hàng tháng'!C111</f>
        <v>xã TTB</v>
      </c>
      <c r="D20" s="263">
        <f>'BC UBND Huyện 15 hàng tháng'!Q111/1000</f>
        <v>1500</v>
      </c>
      <c r="E20" s="264"/>
      <c r="F20" s="264"/>
      <c r="G20" s="264"/>
      <c r="H20" s="264"/>
      <c r="I20" s="265"/>
      <c r="J20" s="265"/>
      <c r="K20" s="265">
        <f>'BC UBND Huyện 15 hàng tháng'!E111/1000</f>
        <v>0</v>
      </c>
      <c r="L20" s="265"/>
      <c r="M20" s="265"/>
      <c r="N20" s="265"/>
      <c r="O20" s="266"/>
      <c r="P20" s="265">
        <f>'BC UBND Huyện 15 hàng tháng'!U111/1000</f>
        <v>0</v>
      </c>
      <c r="Q20" s="267">
        <f>'BC UBND Huyện 15 hàng tháng'!P111</f>
        <v>0</v>
      </c>
      <c r="R20" s="237"/>
    </row>
    <row r="21" spans="1:18" ht="70.5" customHeight="1">
      <c r="A21" s="261">
        <v>10</v>
      </c>
      <c r="B21" s="52" t="s">
        <v>196</v>
      </c>
      <c r="C21" s="261" t="str">
        <f>'BC UBND Huyện 15 hàng tháng'!C112</f>
        <v>xã TCC</v>
      </c>
      <c r="D21" s="263">
        <f>'BC UBND Huyện 15 hàng tháng'!Q112/1000</f>
        <v>2432</v>
      </c>
      <c r="E21" s="264"/>
      <c r="F21" s="264"/>
      <c r="G21" s="240" t="s">
        <v>575</v>
      </c>
      <c r="H21" s="241" t="s">
        <v>576</v>
      </c>
      <c r="I21" s="267" t="s">
        <v>577</v>
      </c>
      <c r="J21" s="265"/>
      <c r="K21" s="265">
        <f>'BC UBND Huyện 15 hàng tháng'!E112/1000</f>
        <v>1997.393</v>
      </c>
      <c r="L21" s="265"/>
      <c r="M21" s="265"/>
      <c r="N21" s="265"/>
      <c r="O21" s="266"/>
      <c r="P21" s="265">
        <f>'BC UBND Huyện 15 hàng tháng'!U112/1000</f>
        <v>0</v>
      </c>
      <c r="Q21" s="267">
        <f>'BC UBND Huyện 15 hàng tháng'!P112</f>
        <v>0</v>
      </c>
      <c r="R21" s="237"/>
    </row>
    <row r="22" spans="1:18" ht="28.5" customHeight="1">
      <c r="A22" s="261">
        <v>11</v>
      </c>
      <c r="B22" s="52" t="s">
        <v>197</v>
      </c>
      <c r="C22" s="261" t="str">
        <f>'BC UBND Huyện 15 hàng tháng'!C113</f>
        <v>xã TCC</v>
      </c>
      <c r="D22" s="263">
        <f>'BC UBND Huyện 15 hàng tháng'!Q113/1000</f>
        <v>1090</v>
      </c>
      <c r="E22" s="264"/>
      <c r="F22" s="264"/>
      <c r="G22" s="240" t="s">
        <v>579</v>
      </c>
      <c r="H22" s="264"/>
      <c r="I22" s="267" t="s">
        <v>578</v>
      </c>
      <c r="J22" s="265"/>
      <c r="K22" s="265">
        <f>'BC UBND Huyện 15 hàng tháng'!E113/1000</f>
        <v>3049.2620000000002</v>
      </c>
      <c r="L22" s="265"/>
      <c r="M22" s="265"/>
      <c r="N22" s="265"/>
      <c r="O22" s="266"/>
      <c r="P22" s="265">
        <f>'BC UBND Huyện 15 hàng tháng'!U113/1000</f>
        <v>0</v>
      </c>
      <c r="Q22" s="267">
        <f>'BC UBND Huyện 15 hàng tháng'!P113</f>
        <v>0</v>
      </c>
      <c r="R22" s="237"/>
    </row>
    <row r="23" spans="1:18" s="243" customFormat="1" ht="18" customHeight="1">
      <c r="A23" s="268" t="s">
        <v>10</v>
      </c>
      <c r="B23" s="269" t="s">
        <v>337</v>
      </c>
      <c r="C23" s="268"/>
      <c r="D23" s="270">
        <f>SUM(D24:D25)</f>
        <v>0</v>
      </c>
      <c r="E23" s="271"/>
      <c r="F23" s="271"/>
      <c r="G23" s="271"/>
      <c r="H23" s="271"/>
      <c r="I23" s="272"/>
      <c r="J23" s="272"/>
      <c r="K23" s="270">
        <f>SUM(K24:K25)</f>
        <v>0</v>
      </c>
      <c r="L23" s="272"/>
      <c r="M23" s="272"/>
      <c r="N23" s="272"/>
      <c r="O23" s="273"/>
      <c r="P23" s="270">
        <f>SUM(P24:P25)</f>
        <v>0</v>
      </c>
      <c r="Q23" s="274"/>
      <c r="R23" s="248"/>
    </row>
    <row r="24" spans="1:18" ht="18" customHeight="1">
      <c r="A24" s="261">
        <v>1</v>
      </c>
      <c r="B24" s="275"/>
      <c r="C24" s="261"/>
      <c r="D24" s="263"/>
      <c r="E24" s="264"/>
      <c r="F24" s="264"/>
      <c r="G24" s="264"/>
      <c r="H24" s="264"/>
      <c r="I24" s="265"/>
      <c r="J24" s="265"/>
      <c r="K24" s="265"/>
      <c r="L24" s="265"/>
      <c r="M24" s="265"/>
      <c r="N24" s="265"/>
      <c r="O24" s="266"/>
      <c r="P24" s="265"/>
      <c r="Q24" s="267"/>
      <c r="R24" s="237"/>
    </row>
    <row r="25" spans="1:18" ht="18" customHeight="1">
      <c r="A25" s="261">
        <v>2</v>
      </c>
      <c r="B25" s="275"/>
      <c r="C25" s="261"/>
      <c r="D25" s="263"/>
      <c r="E25" s="264"/>
      <c r="F25" s="264"/>
      <c r="G25" s="264"/>
      <c r="H25" s="264"/>
      <c r="I25" s="265"/>
      <c r="J25" s="265"/>
      <c r="K25" s="265"/>
      <c r="L25" s="265"/>
      <c r="M25" s="265"/>
      <c r="N25" s="265"/>
      <c r="O25" s="266"/>
      <c r="P25" s="265"/>
      <c r="Q25" s="267"/>
      <c r="R25" s="237"/>
    </row>
    <row r="26" spans="1:18" s="247" customFormat="1" ht="33" customHeight="1">
      <c r="A26" s="268" t="s">
        <v>92</v>
      </c>
      <c r="B26" s="269" t="s">
        <v>338</v>
      </c>
      <c r="C26" s="276"/>
      <c r="D26" s="270">
        <f>SUM(D27:D44)</f>
        <v>11311.061000000002</v>
      </c>
      <c r="E26" s="277"/>
      <c r="F26" s="277"/>
      <c r="G26" s="277"/>
      <c r="H26" s="277"/>
      <c r="I26" s="278"/>
      <c r="J26" s="278"/>
      <c r="K26" s="270">
        <f>SUM(K27:K44)</f>
        <v>6137.5479999999998</v>
      </c>
      <c r="L26" s="278"/>
      <c r="M26" s="278"/>
      <c r="N26" s="278"/>
      <c r="O26" s="279"/>
      <c r="P26" s="270">
        <f>SUM(P27:P44)</f>
        <v>2419.6420000000003</v>
      </c>
      <c r="Q26" s="280"/>
      <c r="R26" s="246"/>
    </row>
    <row r="27" spans="1:18" s="424" customFormat="1" ht="45" customHeight="1">
      <c r="A27" s="415">
        <v>1</v>
      </c>
      <c r="B27" s="416" t="s">
        <v>123</v>
      </c>
      <c r="C27" s="415" t="str">
        <f>'BC UBND Huyện 15 hàng tháng'!C30</f>
        <v>xã TTB</v>
      </c>
      <c r="D27" s="417">
        <f>'BC UBND Huyện 15 hàng tháng'!Q30/1000</f>
        <v>442.86099999999999</v>
      </c>
      <c r="E27" s="418"/>
      <c r="F27" s="418"/>
      <c r="G27" s="419" t="s">
        <v>475</v>
      </c>
      <c r="H27" s="419" t="s">
        <v>474</v>
      </c>
      <c r="I27" s="420"/>
      <c r="J27" s="420"/>
      <c r="K27" s="420">
        <f>'BC UBND Huyện 15 hàng tháng'!E30/1000</f>
        <v>476.19900000000001</v>
      </c>
      <c r="L27" s="420"/>
      <c r="M27" s="420"/>
      <c r="N27" s="420"/>
      <c r="O27" s="421"/>
      <c r="P27" s="420">
        <f>'BC UBND Huyện 15 hàng tháng'!U30/1000</f>
        <v>440.30700000000002</v>
      </c>
      <c r="Q27" s="422">
        <f>'BC UBND Huyện 15 hàng tháng'!P30</f>
        <v>100</v>
      </c>
      <c r="R27" s="423"/>
    </row>
    <row r="28" spans="1:18" s="424" customFormat="1" ht="46.5" customHeight="1">
      <c r="A28" s="415">
        <v>2</v>
      </c>
      <c r="B28" s="416" t="s">
        <v>124</v>
      </c>
      <c r="C28" s="415" t="str">
        <f>'BC UBND Huyện 15 hàng tháng'!C31</f>
        <v>xã TTB</v>
      </c>
      <c r="D28" s="417">
        <f>'BC UBND Huyện 15 hàng tháng'!Q31/1000</f>
        <v>863.61500000000001</v>
      </c>
      <c r="E28" s="418"/>
      <c r="F28" s="418"/>
      <c r="G28" s="419" t="s">
        <v>353</v>
      </c>
      <c r="H28" s="419" t="s">
        <v>352</v>
      </c>
      <c r="I28" s="425" t="s">
        <v>351</v>
      </c>
      <c r="J28" s="422"/>
      <c r="K28" s="420">
        <f>'BC UBND Huyện 15 hàng tháng'!E31/1000</f>
        <v>920.37</v>
      </c>
      <c r="L28" s="420"/>
      <c r="M28" s="420"/>
      <c r="N28" s="420"/>
      <c r="O28" s="421"/>
      <c r="P28" s="420">
        <f>'BC UBND Huyện 15 hàng tháng'!U31/1000</f>
        <v>817.63099999999997</v>
      </c>
      <c r="Q28" s="422">
        <f>'BC UBND Huyện 15 hàng tháng'!P31</f>
        <v>100</v>
      </c>
      <c r="R28" s="423"/>
    </row>
    <row r="29" spans="1:18" s="424" customFormat="1" ht="39" customHeight="1">
      <c r="A29" s="415">
        <v>3</v>
      </c>
      <c r="B29" s="416" t="s">
        <v>153</v>
      </c>
      <c r="C29" s="415" t="str">
        <f>'BC UBND Huyện 15 hàng tháng'!C32</f>
        <v>xã TTA-TP</v>
      </c>
      <c r="D29" s="417">
        <f>'BC UBND Huyện 15 hàng tháng'!Q32/1000</f>
        <v>341.97</v>
      </c>
      <c r="E29" s="418"/>
      <c r="F29" s="418"/>
      <c r="G29" s="415" t="s">
        <v>356</v>
      </c>
      <c r="H29" s="415" t="s">
        <v>355</v>
      </c>
      <c r="I29" s="422" t="s">
        <v>354</v>
      </c>
      <c r="J29" s="422"/>
      <c r="K29" s="420">
        <f>'BC UBND Huyện 15 hàng tháng'!E32/1000</f>
        <v>365.68900000000002</v>
      </c>
      <c r="L29" s="420"/>
      <c r="M29" s="420"/>
      <c r="N29" s="420"/>
      <c r="O29" s="421"/>
      <c r="P29" s="420">
        <f>'BC UBND Huyện 15 hàng tháng'!U32/1000</f>
        <v>337.86099999999999</v>
      </c>
      <c r="Q29" s="422">
        <f>'BC UBND Huyện 15 hàng tháng'!P32</f>
        <v>100</v>
      </c>
      <c r="R29" s="423"/>
    </row>
    <row r="30" spans="1:18" s="424" customFormat="1" ht="26.25" customHeight="1">
      <c r="A30" s="415">
        <v>4</v>
      </c>
      <c r="B30" s="416" t="s">
        <v>154</v>
      </c>
      <c r="C30" s="415" t="str">
        <f>'BC UBND Huyện 15 hàng tháng'!C33</f>
        <v>xã TTA</v>
      </c>
      <c r="D30" s="417">
        <f>'BC UBND Huyện 15 hàng tháng'!Q33/1000</f>
        <v>579.04999999999995</v>
      </c>
      <c r="E30" s="418"/>
      <c r="F30" s="418"/>
      <c r="G30" s="415" t="s">
        <v>359</v>
      </c>
      <c r="H30" s="415" t="s">
        <v>358</v>
      </c>
      <c r="I30" s="422" t="s">
        <v>357</v>
      </c>
      <c r="J30" s="422"/>
      <c r="K30" s="420">
        <f>'BC UBND Huyện 15 hàng tháng'!E33/1000</f>
        <v>645.26800000000003</v>
      </c>
      <c r="L30" s="420"/>
      <c r="M30" s="420"/>
      <c r="N30" s="420"/>
      <c r="O30" s="421"/>
      <c r="P30" s="420">
        <f>'BC UBND Huyện 15 hàng tháng'!U33/1000</f>
        <v>573.75300000000004</v>
      </c>
      <c r="Q30" s="422">
        <f>'BC UBND Huyện 15 hàng tháng'!P33</f>
        <v>100</v>
      </c>
      <c r="R30" s="423"/>
    </row>
    <row r="31" spans="1:18" s="424" customFormat="1" ht="51" customHeight="1">
      <c r="A31" s="415">
        <v>5</v>
      </c>
      <c r="B31" s="404" t="s">
        <v>127</v>
      </c>
      <c r="C31" s="415" t="str">
        <f>'BC UBND Huyện 15 hàng tháng'!C43</f>
        <v>xã TTB</v>
      </c>
      <c r="D31" s="417">
        <f>'BC UBND Huyện 15 hàng tháng'!Q43/1000</f>
        <v>253.38399999999999</v>
      </c>
      <c r="E31" s="418"/>
      <c r="F31" s="418"/>
      <c r="G31" s="415" t="s">
        <v>477</v>
      </c>
      <c r="H31" s="415" t="s">
        <v>478</v>
      </c>
      <c r="I31" s="422" t="s">
        <v>476</v>
      </c>
      <c r="J31" s="422"/>
      <c r="K31" s="420">
        <f>'BC UBND Huyện 15 hàng tháng'!E43/1000</f>
        <v>613.88400000000001</v>
      </c>
      <c r="L31" s="420"/>
      <c r="M31" s="420"/>
      <c r="N31" s="420"/>
      <c r="O31" s="421"/>
      <c r="P31" s="420">
        <f>'BC UBND Huyện 15 hàng tháng'!U43/1000</f>
        <v>250.09</v>
      </c>
      <c r="Q31" s="422">
        <f>'BC UBND Huyện 15 hàng tháng'!P43</f>
        <v>100</v>
      </c>
      <c r="R31" s="423"/>
    </row>
    <row r="32" spans="1:18" s="245" customFormat="1" ht="39.75" customHeight="1">
      <c r="A32" s="281">
        <v>6</v>
      </c>
      <c r="B32" s="158" t="s">
        <v>198</v>
      </c>
      <c r="C32" s="281" t="str">
        <f>'BC UBND Huyện 15 hàng tháng'!C114</f>
        <v>xã AP</v>
      </c>
      <c r="D32" s="282">
        <f>'BC UBND Huyện 15 hàng tháng'!Q114/1000</f>
        <v>1500</v>
      </c>
      <c r="E32" s="283"/>
      <c r="F32" s="283"/>
      <c r="G32" s="281"/>
      <c r="H32" s="281"/>
      <c r="I32" s="286"/>
      <c r="J32" s="286"/>
      <c r="K32" s="284">
        <f>'BC UBND Huyện 15 hàng tháng'!E114/1000</f>
        <v>0</v>
      </c>
      <c r="L32" s="284"/>
      <c r="M32" s="284"/>
      <c r="N32" s="284"/>
      <c r="O32" s="285"/>
      <c r="P32" s="284">
        <f>'BC UBND Huyện 15 hàng tháng'!U114/1000</f>
        <v>0</v>
      </c>
      <c r="Q32" s="286">
        <f>'BC UBND Huyện 15 hàng tháng'!P114</f>
        <v>0</v>
      </c>
      <c r="R32" s="244"/>
    </row>
    <row r="33" spans="1:18" ht="39.75" customHeight="1">
      <c r="A33" s="281">
        <v>7</v>
      </c>
      <c r="B33" s="52" t="s">
        <v>199</v>
      </c>
      <c r="C33" s="261" t="str">
        <f>'BC UBND Huyện 15 hàng tháng'!C115</f>
        <v>xã AP</v>
      </c>
      <c r="D33" s="263">
        <f>'BC UBND Huyện 15 hàng tháng'!Q115/1000</f>
        <v>1600</v>
      </c>
      <c r="E33" s="264"/>
      <c r="F33" s="264"/>
      <c r="G33" s="276"/>
      <c r="H33" s="261"/>
      <c r="I33" s="267"/>
      <c r="J33" s="267"/>
      <c r="K33" s="265">
        <f>'BC UBND Huyện 15 hàng tháng'!E115/1000</f>
        <v>0</v>
      </c>
      <c r="L33" s="265"/>
      <c r="M33" s="265"/>
      <c r="N33" s="265"/>
      <c r="O33" s="266"/>
      <c r="P33" s="265">
        <f>'BC UBND Huyện 15 hàng tháng'!U115/1000</f>
        <v>0</v>
      </c>
      <c r="Q33" s="267">
        <f>'BC UBND Huyện 15 hàng tháng'!P115</f>
        <v>0</v>
      </c>
      <c r="R33" s="237"/>
    </row>
    <row r="34" spans="1:18" s="443" customFormat="1" ht="210" customHeight="1">
      <c r="A34" s="434">
        <v>8</v>
      </c>
      <c r="B34" s="427" t="s">
        <v>200</v>
      </c>
      <c r="C34" s="435" t="str">
        <f>'BC UBND Huyện 15 hàng tháng'!C116</f>
        <v>xã TP</v>
      </c>
      <c r="D34" s="436">
        <f>'BC UBND Huyện 15 hàng tháng'!Q116/1000</f>
        <v>450</v>
      </c>
      <c r="E34" s="437"/>
      <c r="F34" s="437"/>
      <c r="G34" s="438"/>
      <c r="H34" s="435"/>
      <c r="I34" s="439"/>
      <c r="J34" s="439"/>
      <c r="K34" s="440">
        <f>'BC UBND Huyện 15 hàng tháng'!E116/1000</f>
        <v>0</v>
      </c>
      <c r="L34" s="440"/>
      <c r="M34" s="440"/>
      <c r="N34" s="440"/>
      <c r="O34" s="441"/>
      <c r="P34" s="440">
        <f>'BC UBND Huyện 15 hàng tháng'!U116/1000</f>
        <v>0</v>
      </c>
      <c r="Q34" s="439" t="str">
        <f>'BC UBND Huyện 15 hàng tháng'!X116</f>
        <v>Trùng trong danh mục đầu tư NCCH mặt đê BĐ kênh Ngọn Cũ (Cầu Bào Lức đến kênh Giồng Nhỏ)</v>
      </c>
      <c r="R34" s="442"/>
    </row>
    <row r="35" spans="1:18" s="443" customFormat="1" ht="210" customHeight="1">
      <c r="A35" s="434">
        <v>9</v>
      </c>
      <c r="B35" s="427" t="s">
        <v>201</v>
      </c>
      <c r="C35" s="435" t="str">
        <f>'BC UBND Huyện 15 hàng tháng'!C117</f>
        <v>xã TP</v>
      </c>
      <c r="D35" s="436">
        <f>'BC UBND Huyện 15 hàng tháng'!Q117/1000</f>
        <v>450</v>
      </c>
      <c r="E35" s="437"/>
      <c r="F35" s="437"/>
      <c r="G35" s="438"/>
      <c r="H35" s="435"/>
      <c r="I35" s="439"/>
      <c r="J35" s="439"/>
      <c r="K35" s="440">
        <f>'BC UBND Huyện 15 hàng tháng'!E117/1000</f>
        <v>0</v>
      </c>
      <c r="L35" s="440"/>
      <c r="M35" s="440"/>
      <c r="N35" s="440"/>
      <c r="O35" s="441"/>
      <c r="P35" s="440">
        <f>'BC UBND Huyện 15 hàng tháng'!U117/1000</f>
        <v>0</v>
      </c>
      <c r="Q35" s="439" t="str">
        <f>'BC UBND Huyện 15 hàng tháng'!X117</f>
        <v>Trùng trong danh mục đầu tư NCCH mặt đê BĐ kênh Ngọn Cũ (Cầu Bào Lức đến kênh Giồng Nhỏ)</v>
      </c>
      <c r="R35" s="442"/>
    </row>
    <row r="36" spans="1:18" ht="65.25" customHeight="1">
      <c r="A36" s="281">
        <v>10</v>
      </c>
      <c r="B36" s="52" t="s">
        <v>202</v>
      </c>
      <c r="C36" s="261" t="str">
        <f>'BC UBND Huyện 15 hàng tháng'!C118</f>
        <v>xã TB</v>
      </c>
      <c r="D36" s="263">
        <f>'BC UBND Huyện 15 hàng tháng'!Q118/1000</f>
        <v>450</v>
      </c>
      <c r="E36" s="264"/>
      <c r="F36" s="264"/>
      <c r="G36" s="276" t="s">
        <v>581</v>
      </c>
      <c r="H36" s="241" t="s">
        <v>580</v>
      </c>
      <c r="I36" s="276" t="s">
        <v>582</v>
      </c>
      <c r="J36" s="267"/>
      <c r="K36" s="265">
        <f>'BC UBND Huyện 15 hàng tháng'!E118/1000</f>
        <v>1047.7159999999999</v>
      </c>
      <c r="L36" s="265"/>
      <c r="M36" s="265"/>
      <c r="N36" s="265"/>
      <c r="O36" s="266"/>
      <c r="P36" s="265">
        <f>'BC UBND Huyện 15 hàng tháng'!U118/1000</f>
        <v>0</v>
      </c>
      <c r="Q36" s="267">
        <f>'BC UBND Huyện 15 hàng tháng'!P118</f>
        <v>0</v>
      </c>
      <c r="R36" s="237"/>
    </row>
    <row r="37" spans="1:18" ht="41.25" customHeight="1">
      <c r="A37" s="281">
        <v>11</v>
      </c>
      <c r="B37" s="52" t="s">
        <v>203</v>
      </c>
      <c r="C37" s="261" t="str">
        <f>'BC UBND Huyện 15 hàng tháng'!C119</f>
        <v>xã TB</v>
      </c>
      <c r="D37" s="263">
        <f>'BC UBND Huyện 15 hàng tháng'!Q119/1000</f>
        <v>850</v>
      </c>
      <c r="E37" s="264"/>
      <c r="F37" s="264"/>
      <c r="G37" s="276"/>
      <c r="H37" s="241" t="s">
        <v>584</v>
      </c>
      <c r="I37" s="267" t="s">
        <v>583</v>
      </c>
      <c r="J37" s="267"/>
      <c r="K37" s="265">
        <f>'BC UBND Huyện 15 hàng tháng'!E119/1000</f>
        <v>462.01400000000001</v>
      </c>
      <c r="L37" s="265"/>
      <c r="M37" s="265"/>
      <c r="N37" s="265"/>
      <c r="O37" s="266"/>
      <c r="P37" s="265">
        <f>'BC UBND Huyện 15 hàng tháng'!U119/1000</f>
        <v>0</v>
      </c>
      <c r="Q37" s="267">
        <f>'BC UBND Huyện 15 hàng tháng'!P119</f>
        <v>0</v>
      </c>
      <c r="R37" s="237"/>
    </row>
    <row r="38" spans="1:18" ht="26.25" customHeight="1">
      <c r="A38" s="281">
        <v>12</v>
      </c>
      <c r="B38" s="52" t="s">
        <v>204</v>
      </c>
      <c r="C38" s="261" t="str">
        <f>'BC UBND Huyện 15 hàng tháng'!C120</f>
        <v>xã TB</v>
      </c>
      <c r="D38" s="263">
        <f>'BC UBND Huyện 15 hàng tháng'!Q120/1000</f>
        <v>610</v>
      </c>
      <c r="E38" s="264"/>
      <c r="F38" s="264"/>
      <c r="G38" s="276"/>
      <c r="H38" s="261"/>
      <c r="I38" s="267"/>
      <c r="J38" s="267"/>
      <c r="K38" s="265">
        <f>'BC UBND Huyện 15 hàng tháng'!E120/1000</f>
        <v>0</v>
      </c>
      <c r="L38" s="265"/>
      <c r="M38" s="265"/>
      <c r="N38" s="265"/>
      <c r="O38" s="266"/>
      <c r="P38" s="265">
        <f>'BC UBND Huyện 15 hàng tháng'!U120/1000</f>
        <v>0</v>
      </c>
      <c r="Q38" s="267">
        <f>'BC UBND Huyện 15 hàng tháng'!P120</f>
        <v>0</v>
      </c>
      <c r="R38" s="237"/>
    </row>
    <row r="39" spans="1:18" ht="39.75" customHeight="1">
      <c r="A39" s="281">
        <v>13</v>
      </c>
      <c r="B39" s="52" t="s">
        <v>205</v>
      </c>
      <c r="C39" s="261" t="str">
        <f>'BC UBND Huyện 15 hàng tháng'!C121</f>
        <v>xã THC</v>
      </c>
      <c r="D39" s="263">
        <f>'BC UBND Huyện 15 hàng tháng'!Q121/1000</f>
        <v>600</v>
      </c>
      <c r="E39" s="264"/>
      <c r="F39" s="264"/>
      <c r="G39" s="276"/>
      <c r="H39" s="261"/>
      <c r="I39" s="267"/>
      <c r="J39" s="267"/>
      <c r="K39" s="265">
        <f>'BC UBND Huyện 15 hàng tháng'!E121/1000</f>
        <v>0</v>
      </c>
      <c r="L39" s="265"/>
      <c r="M39" s="265"/>
      <c r="N39" s="265"/>
      <c r="O39" s="266"/>
      <c r="P39" s="265">
        <f>'BC UBND Huyện 15 hàng tháng'!U121/1000</f>
        <v>0</v>
      </c>
      <c r="Q39" s="267">
        <f>'BC UBND Huyện 15 hàng tháng'!P121</f>
        <v>0</v>
      </c>
      <c r="R39" s="237"/>
    </row>
    <row r="40" spans="1:18" ht="39.75" customHeight="1">
      <c r="A40" s="281">
        <v>14</v>
      </c>
      <c r="B40" s="52" t="s">
        <v>206</v>
      </c>
      <c r="C40" s="261" t="str">
        <f>'BC UBND Huyện 15 hàng tháng'!C122</f>
        <v>xã TCC</v>
      </c>
      <c r="D40" s="263">
        <f>'BC UBND Huyện 15 hàng tháng'!Q122/1000</f>
        <v>600</v>
      </c>
      <c r="E40" s="264"/>
      <c r="F40" s="264"/>
      <c r="G40" s="276"/>
      <c r="H40" s="261"/>
      <c r="I40" s="267"/>
      <c r="J40" s="267"/>
      <c r="K40" s="265">
        <f>'BC UBND Huyện 15 hàng tháng'!E122/1000</f>
        <v>0</v>
      </c>
      <c r="L40" s="265"/>
      <c r="M40" s="265"/>
      <c r="N40" s="265"/>
      <c r="O40" s="266"/>
      <c r="P40" s="265">
        <f>'BC UBND Huyện 15 hàng tháng'!U122/1000</f>
        <v>0</v>
      </c>
      <c r="Q40" s="267">
        <f>'BC UBND Huyện 15 hàng tháng'!P122</f>
        <v>0</v>
      </c>
      <c r="R40" s="237"/>
    </row>
    <row r="41" spans="1:18" ht="18" customHeight="1">
      <c r="A41" s="281">
        <v>15</v>
      </c>
      <c r="B41" s="52" t="s">
        <v>252</v>
      </c>
      <c r="C41" s="261" t="str">
        <f>'BC UBND Huyện 15 hàng tháng'!C124</f>
        <v>xã TTB</v>
      </c>
      <c r="D41" s="263">
        <f>'BC UBND Huyện 15 hàng tháng'!Q124/1000</f>
        <v>420.18099999999998</v>
      </c>
      <c r="E41" s="264"/>
      <c r="F41" s="264"/>
      <c r="G41" s="264"/>
      <c r="H41" s="264"/>
      <c r="I41" s="265"/>
      <c r="J41" s="265"/>
      <c r="K41" s="265">
        <f>'BC UBND Huyện 15 hàng tháng'!E124/1000</f>
        <v>0</v>
      </c>
      <c r="L41" s="265"/>
      <c r="M41" s="265"/>
      <c r="N41" s="265"/>
      <c r="O41" s="266"/>
      <c r="P41" s="265">
        <f>'BC UBND Huyện 15 hàng tháng'!U124/1000</f>
        <v>0</v>
      </c>
      <c r="Q41" s="267">
        <f>'BC UBND Huyện 15 hàng tháng'!P124</f>
        <v>0</v>
      </c>
      <c r="R41" s="237"/>
    </row>
    <row r="42" spans="1:18" ht="18" customHeight="1">
      <c r="A42" s="281">
        <v>16</v>
      </c>
      <c r="B42" s="52" t="s">
        <v>253</v>
      </c>
      <c r="C42" s="261" t="str">
        <f>'BC UBND Huyện 15 hàng tháng'!C125</f>
        <v>xã BP</v>
      </c>
      <c r="D42" s="263">
        <f>'BC UBND Huyện 15 hàng tháng'!Q125/1000</f>
        <v>200</v>
      </c>
      <c r="E42" s="264"/>
      <c r="F42" s="264"/>
      <c r="G42" s="264"/>
      <c r="H42" s="264"/>
      <c r="I42" s="265"/>
      <c r="J42" s="265"/>
      <c r="K42" s="265">
        <f>'BC UBND Huyện 15 hàng tháng'!E125/1000</f>
        <v>0</v>
      </c>
      <c r="L42" s="265"/>
      <c r="M42" s="265"/>
      <c r="N42" s="265"/>
      <c r="O42" s="266"/>
      <c r="P42" s="265">
        <f>'BC UBND Huyện 15 hàng tháng'!U125/1000</f>
        <v>0</v>
      </c>
      <c r="Q42" s="267">
        <f>'BC UBND Huyện 15 hàng tháng'!P125</f>
        <v>0</v>
      </c>
      <c r="R42" s="237"/>
    </row>
    <row r="43" spans="1:18" ht="42" customHeight="1">
      <c r="A43" s="281">
        <v>17</v>
      </c>
      <c r="B43" s="52" t="s">
        <v>254</v>
      </c>
      <c r="C43" s="261" t="str">
        <f>'BC UBND Huyện 15 hàng tháng'!C126</f>
        <v>xã BP</v>
      </c>
      <c r="D43" s="263">
        <f>'BC UBND Huyện 15 hàng tháng'!Q126/1000</f>
        <v>350</v>
      </c>
      <c r="E43" s="264"/>
      <c r="F43" s="264"/>
      <c r="G43" s="261" t="s">
        <v>586</v>
      </c>
      <c r="H43" s="241" t="s">
        <v>587</v>
      </c>
      <c r="I43" s="241" t="s">
        <v>585</v>
      </c>
      <c r="J43" s="265"/>
      <c r="K43" s="265">
        <f>'BC UBND Huyện 15 hàng tháng'!E126/1000</f>
        <v>584.27800000000002</v>
      </c>
      <c r="L43" s="265"/>
      <c r="M43" s="265"/>
      <c r="N43" s="265"/>
      <c r="O43" s="266"/>
      <c r="P43" s="265">
        <f>'BC UBND Huyện 15 hàng tháng'!U126/1000</f>
        <v>0</v>
      </c>
      <c r="Q43" s="267">
        <f>'BC UBND Huyện 15 hàng tháng'!P126</f>
        <v>0</v>
      </c>
      <c r="R43" s="237"/>
    </row>
    <row r="44" spans="1:18" ht="60" customHeight="1">
      <c r="A44" s="294">
        <v>18</v>
      </c>
      <c r="B44" s="63" t="s">
        <v>255</v>
      </c>
      <c r="C44" s="287" t="str">
        <f>'BC UBND Huyện 15 hàng tháng'!C127</f>
        <v>xã TB</v>
      </c>
      <c r="D44" s="288">
        <f>'BC UBND Huyện 15 hàng tháng'!Q127/1000</f>
        <v>750</v>
      </c>
      <c r="E44" s="289"/>
      <c r="F44" s="289"/>
      <c r="G44" s="287" t="s">
        <v>589</v>
      </c>
      <c r="H44" s="241" t="s">
        <v>590</v>
      </c>
      <c r="I44" s="459" t="s">
        <v>588</v>
      </c>
      <c r="J44" s="290"/>
      <c r="K44" s="291">
        <f>'BC UBND Huyện 15 hàng tháng'!E127/1000</f>
        <v>1022.13</v>
      </c>
      <c r="L44" s="291"/>
      <c r="M44" s="291"/>
      <c r="N44" s="291"/>
      <c r="O44" s="292"/>
      <c r="P44" s="291">
        <f>'BC UBND Huyện 15 hàng tháng'!U127/1000</f>
        <v>0</v>
      </c>
      <c r="Q44" s="290">
        <f>'BC UBND Huyện 15 hàng tháng'!P127</f>
        <v>0</v>
      </c>
      <c r="R44" s="237"/>
    </row>
    <row r="45" spans="1:18" ht="13.9" customHeight="1"/>
    <row r="46" spans="1:18" ht="20.45" customHeight="1">
      <c r="B46" s="779" t="s">
        <v>339</v>
      </c>
      <c r="C46" s="779"/>
      <c r="D46" s="779"/>
      <c r="E46" s="779"/>
      <c r="F46" s="779"/>
      <c r="G46" s="779"/>
      <c r="H46" s="779"/>
      <c r="I46" s="779"/>
      <c r="J46" s="779"/>
      <c r="K46" s="779"/>
      <c r="L46" s="779"/>
      <c r="M46" s="779"/>
      <c r="N46" s="779"/>
      <c r="O46" s="779"/>
      <c r="P46" s="779"/>
      <c r="Q46" s="779"/>
    </row>
    <row r="47" spans="1:18" ht="5.45" customHeight="1"/>
    <row r="48" spans="1:18" s="226" customFormat="1" ht="22.15" customHeight="1">
      <c r="A48" s="223"/>
      <c r="B48" s="238" t="s">
        <v>26</v>
      </c>
      <c r="C48" s="238"/>
      <c r="D48" s="223"/>
      <c r="J48" s="780" t="s">
        <v>318</v>
      </c>
      <c r="K48" s="780"/>
      <c r="L48" s="780"/>
      <c r="M48" s="780"/>
      <c r="N48" s="780"/>
      <c r="O48" s="780"/>
      <c r="P48" s="780"/>
      <c r="Q48" s="780"/>
    </row>
    <row r="49" spans="1:17" s="226" customFormat="1" ht="17.45" customHeight="1">
      <c r="A49" s="223"/>
      <c r="B49" s="781" t="s">
        <v>83</v>
      </c>
      <c r="C49" s="781"/>
      <c r="D49" s="223"/>
      <c r="J49" s="782" t="s">
        <v>340</v>
      </c>
      <c r="K49" s="782"/>
      <c r="L49" s="782"/>
      <c r="M49" s="782"/>
      <c r="N49" s="782"/>
      <c r="O49" s="782"/>
      <c r="P49" s="782"/>
      <c r="Q49" s="782"/>
    </row>
    <row r="50" spans="1:17" s="226" customFormat="1">
      <c r="A50" s="223"/>
      <c r="B50" s="781" t="s">
        <v>341</v>
      </c>
      <c r="C50" s="781"/>
      <c r="D50" s="223"/>
      <c r="Q50" s="223"/>
    </row>
    <row r="51" spans="1:17" s="226" customFormat="1">
      <c r="A51" s="223"/>
      <c r="C51" s="223"/>
      <c r="D51" s="223"/>
      <c r="Q51" s="223"/>
    </row>
  </sheetData>
  <mergeCells count="20">
    <mergeCell ref="B50:C50"/>
    <mergeCell ref="L8:P8"/>
    <mergeCell ref="Q8:Q9"/>
    <mergeCell ref="B46:Q46"/>
    <mergeCell ref="J48:Q48"/>
    <mergeCell ref="B49:C49"/>
    <mergeCell ref="J49:Q49"/>
    <mergeCell ref="A8:A9"/>
    <mergeCell ref="B8:B9"/>
    <mergeCell ref="C8:C9"/>
    <mergeCell ref="D8:D9"/>
    <mergeCell ref="E8:K8"/>
    <mergeCell ref="H1:Q1"/>
    <mergeCell ref="H2:Q2"/>
    <mergeCell ref="H4:Q4"/>
    <mergeCell ref="A6:Q6"/>
    <mergeCell ref="A1:B1"/>
    <mergeCell ref="A2:B2"/>
    <mergeCell ref="A3:B3"/>
    <mergeCell ref="A4:B4"/>
  </mergeCells>
  <pageMargins left="0.24" right="0.16" top="0.48" bottom="0.4" header="0.3" footer="0.2"/>
  <pageSetup paperSize="9" scale="90" orientation="landscape" verticalDpi="0" r:id="rId1"/>
  <headerFooter>
    <oddFooter>&amp;R&amp;8&amp;P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election activeCell="A6" sqref="A6:Q6"/>
    </sheetView>
  </sheetViews>
  <sheetFormatPr defaultRowHeight="15.75"/>
  <cols>
    <col min="1" max="1" width="6.42578125" style="223" customWidth="1"/>
    <col min="2" max="2" width="31" style="226" customWidth="1"/>
    <col min="3" max="3" width="11" style="223" customWidth="1"/>
    <col min="4" max="4" width="8.28515625" style="223" customWidth="1"/>
    <col min="5" max="5" width="6.5703125" style="226" customWidth="1"/>
    <col min="6" max="6" width="7.42578125" style="226" customWidth="1"/>
    <col min="7" max="7" width="10.28515625" style="226" customWidth="1"/>
    <col min="8" max="8" width="8.85546875" style="226" customWidth="1"/>
    <col min="9" max="9" width="7.7109375" style="226" customWidth="1"/>
    <col min="10" max="10" width="7.85546875" style="226" customWidth="1"/>
    <col min="11" max="11" width="9.140625" style="226" customWidth="1"/>
    <col min="12" max="12" width="6.7109375" style="226" customWidth="1"/>
    <col min="13" max="13" width="7.7109375" style="226" customWidth="1"/>
    <col min="14" max="14" width="8.140625" style="226" customWidth="1"/>
    <col min="15" max="15" width="9.42578125" style="226" customWidth="1"/>
    <col min="16" max="16" width="7.5703125" style="226" customWidth="1"/>
    <col min="17" max="17" width="8.7109375" style="226" customWidth="1"/>
    <col min="18" max="18" width="19" style="226" customWidth="1"/>
    <col min="19" max="16384" width="9.140625" style="226"/>
  </cols>
  <sheetData>
    <row r="1" spans="1:18" s="251" customFormat="1" ht="16.899999999999999" customHeight="1">
      <c r="A1" s="774" t="s">
        <v>0</v>
      </c>
      <c r="B1" s="774"/>
      <c r="C1" s="249"/>
      <c r="D1" s="249"/>
      <c r="E1" s="250"/>
      <c r="F1" s="249"/>
      <c r="G1" s="249"/>
      <c r="H1" s="770" t="s">
        <v>319</v>
      </c>
      <c r="I1" s="770"/>
      <c r="J1" s="770"/>
      <c r="K1" s="770"/>
      <c r="L1" s="770"/>
      <c r="M1" s="770"/>
      <c r="N1" s="770"/>
      <c r="O1" s="770"/>
      <c r="P1" s="770"/>
      <c r="Q1" s="770"/>
    </row>
    <row r="2" spans="1:18" s="251" customFormat="1" ht="16.899999999999999" customHeight="1">
      <c r="A2" s="775" t="s">
        <v>1</v>
      </c>
      <c r="B2" s="775"/>
      <c r="C2" s="249"/>
      <c r="D2" s="249"/>
      <c r="E2" s="252"/>
      <c r="H2" s="771" t="s">
        <v>320</v>
      </c>
      <c r="I2" s="771"/>
      <c r="J2" s="771"/>
      <c r="K2" s="771"/>
      <c r="L2" s="771"/>
      <c r="M2" s="771"/>
      <c r="N2" s="771"/>
      <c r="O2" s="771"/>
      <c r="P2" s="771"/>
      <c r="Q2" s="771"/>
    </row>
    <row r="3" spans="1:18" s="251" customFormat="1" ht="12.75">
      <c r="A3" s="775" t="s">
        <v>36</v>
      </c>
      <c r="B3" s="775"/>
      <c r="C3" s="252"/>
      <c r="D3" s="252"/>
      <c r="E3" s="252"/>
      <c r="F3" s="252"/>
      <c r="G3" s="252"/>
      <c r="I3" s="253"/>
      <c r="K3" s="253"/>
      <c r="L3" s="253"/>
      <c r="M3" s="253"/>
      <c r="N3" s="253"/>
      <c r="O3" s="253"/>
      <c r="P3" s="253"/>
      <c r="Q3" s="252"/>
    </row>
    <row r="4" spans="1:18" s="251" customFormat="1" ht="18" customHeight="1">
      <c r="A4" s="774" t="s">
        <v>72</v>
      </c>
      <c r="B4" s="774"/>
      <c r="C4" s="254"/>
      <c r="D4" s="254"/>
      <c r="E4" s="255"/>
      <c r="F4" s="255"/>
      <c r="G4" s="255"/>
      <c r="H4" s="772" t="str">
        <f>'TLP ngày 02'!H4</f>
        <v>Tân Hồng, ngày 02 tháng 07 năm 2021</v>
      </c>
      <c r="I4" s="772"/>
      <c r="J4" s="772"/>
      <c r="K4" s="772"/>
      <c r="L4" s="772"/>
      <c r="M4" s="772"/>
      <c r="N4" s="772"/>
      <c r="O4" s="772"/>
      <c r="P4" s="772"/>
      <c r="Q4" s="772"/>
    </row>
    <row r="5" spans="1:18" ht="11.45" customHeight="1">
      <c r="B5" s="222"/>
      <c r="C5" s="224"/>
      <c r="D5" s="225"/>
      <c r="E5" s="224"/>
      <c r="F5" s="224"/>
      <c r="H5" s="227"/>
      <c r="I5" s="227"/>
      <c r="J5" s="227"/>
      <c r="K5" s="227"/>
      <c r="L5" s="227"/>
      <c r="M5" s="227"/>
      <c r="N5" s="227"/>
      <c r="O5" s="227"/>
      <c r="P5" s="228"/>
      <c r="Q5" s="227"/>
    </row>
    <row r="6" spans="1:18" ht="36.6" customHeight="1">
      <c r="A6" s="783" t="s">
        <v>342</v>
      </c>
      <c r="B6" s="783"/>
      <c r="C6" s="783"/>
      <c r="D6" s="783"/>
      <c r="E6" s="783"/>
      <c r="F6" s="783"/>
      <c r="G6" s="783"/>
      <c r="H6" s="783"/>
      <c r="I6" s="783"/>
      <c r="J6" s="783"/>
      <c r="K6" s="783"/>
      <c r="L6" s="783"/>
      <c r="M6" s="783"/>
      <c r="N6" s="783"/>
      <c r="O6" s="783"/>
      <c r="P6" s="783"/>
      <c r="Q6" s="783"/>
    </row>
    <row r="7" spans="1:18" ht="8.4499999999999993" customHeight="1"/>
    <row r="8" spans="1:18" s="223" customFormat="1" ht="15" customHeight="1">
      <c r="A8" s="778" t="s">
        <v>129</v>
      </c>
      <c r="B8" s="778" t="s">
        <v>322</v>
      </c>
      <c r="C8" s="778" t="s">
        <v>323</v>
      </c>
      <c r="D8" s="776" t="s">
        <v>324</v>
      </c>
      <c r="E8" s="776" t="s">
        <v>325</v>
      </c>
      <c r="F8" s="776"/>
      <c r="G8" s="776"/>
      <c r="H8" s="776"/>
      <c r="I8" s="776"/>
      <c r="J8" s="776"/>
      <c r="K8" s="776"/>
      <c r="L8" s="777" t="str">
        <f>'TLP ngày 02'!L8</f>
        <v>Kết quả thực hiện đến ngày 02/07/2021</v>
      </c>
      <c r="M8" s="777"/>
      <c r="N8" s="777"/>
      <c r="O8" s="777"/>
      <c r="P8" s="777"/>
      <c r="Q8" s="778" t="s">
        <v>326</v>
      </c>
    </row>
    <row r="9" spans="1:18" s="223" customFormat="1" ht="59.45" customHeight="1">
      <c r="A9" s="778"/>
      <c r="B9" s="778"/>
      <c r="C9" s="778"/>
      <c r="D9" s="776"/>
      <c r="E9" s="231" t="s">
        <v>327</v>
      </c>
      <c r="F9" s="231" t="s">
        <v>328</v>
      </c>
      <c r="G9" s="231" t="s">
        <v>329</v>
      </c>
      <c r="H9" s="231" t="s">
        <v>330</v>
      </c>
      <c r="I9" s="231" t="s">
        <v>331</v>
      </c>
      <c r="J9" s="231" t="s">
        <v>332</v>
      </c>
      <c r="K9" s="231" t="s">
        <v>333</v>
      </c>
      <c r="L9" s="232" t="s">
        <v>327</v>
      </c>
      <c r="M9" s="232" t="s">
        <v>331</v>
      </c>
      <c r="N9" s="232" t="s">
        <v>332</v>
      </c>
      <c r="O9" s="316" t="s">
        <v>334</v>
      </c>
      <c r="P9" s="316" t="s">
        <v>335</v>
      </c>
      <c r="Q9" s="778"/>
    </row>
    <row r="10" spans="1:18" s="243" customFormat="1" ht="16.149999999999999" customHeight="1">
      <c r="A10" s="311"/>
      <c r="B10" s="312" t="s">
        <v>137</v>
      </c>
      <c r="C10" s="311"/>
      <c r="D10" s="313">
        <f>D11+D14+D20</f>
        <v>16881.663</v>
      </c>
      <c r="E10" s="314"/>
      <c r="F10" s="314"/>
      <c r="G10" s="314"/>
      <c r="H10" s="314"/>
      <c r="I10" s="314"/>
      <c r="J10" s="314"/>
      <c r="K10" s="313">
        <f>K11+K14+K20</f>
        <v>41916.428</v>
      </c>
      <c r="L10" s="314"/>
      <c r="M10" s="314"/>
      <c r="N10" s="314"/>
      <c r="O10" s="314"/>
      <c r="P10" s="313">
        <f>P11+P14+P20</f>
        <v>2908.55</v>
      </c>
      <c r="Q10" s="315"/>
    </row>
    <row r="11" spans="1:18" s="243" customFormat="1" ht="39.6" customHeight="1">
      <c r="A11" s="256" t="s">
        <v>9</v>
      </c>
      <c r="B11" s="257" t="s">
        <v>343</v>
      </c>
      <c r="C11" s="256"/>
      <c r="D11" s="258">
        <f>SUM(D12:D13)</f>
        <v>0</v>
      </c>
      <c r="E11" s="259"/>
      <c r="F11" s="259"/>
      <c r="G11" s="259"/>
      <c r="H11" s="259"/>
      <c r="I11" s="259"/>
      <c r="J11" s="259"/>
      <c r="K11" s="258">
        <f>SUM(K12:K13)</f>
        <v>0</v>
      </c>
      <c r="L11" s="259"/>
      <c r="M11" s="259"/>
      <c r="N11" s="259"/>
      <c r="O11" s="259"/>
      <c r="P11" s="258">
        <f>SUM(P12:P13)</f>
        <v>0</v>
      </c>
      <c r="Q11" s="259"/>
    </row>
    <row r="12" spans="1:18" ht="12.6" customHeight="1">
      <c r="A12" s="295">
        <v>1</v>
      </c>
      <c r="B12" s="296"/>
      <c r="C12" s="295"/>
      <c r="D12" s="297"/>
      <c r="E12" s="298"/>
      <c r="F12" s="298"/>
      <c r="G12" s="298"/>
      <c r="H12" s="298"/>
      <c r="I12" s="299"/>
      <c r="J12" s="299"/>
      <c r="K12" s="299"/>
      <c r="L12" s="299"/>
      <c r="M12" s="299"/>
      <c r="N12" s="299"/>
      <c r="O12" s="299"/>
      <c r="P12" s="299"/>
      <c r="Q12" s="299"/>
      <c r="R12" s="239"/>
    </row>
    <row r="13" spans="1:18" ht="12.6" customHeight="1">
      <c r="A13" s="295">
        <v>2</v>
      </c>
      <c r="B13" s="296"/>
      <c r="C13" s="295"/>
      <c r="D13" s="297"/>
      <c r="E13" s="298"/>
      <c r="F13" s="298"/>
      <c r="G13" s="298"/>
      <c r="H13" s="298"/>
      <c r="I13" s="299"/>
      <c r="J13" s="299"/>
      <c r="K13" s="299"/>
      <c r="L13" s="299"/>
      <c r="M13" s="299"/>
      <c r="N13" s="299"/>
      <c r="O13" s="299"/>
      <c r="P13" s="299"/>
      <c r="Q13" s="299"/>
      <c r="R13" s="239"/>
    </row>
    <row r="14" spans="1:18" s="243" customFormat="1" ht="12.6" customHeight="1">
      <c r="A14" s="268" t="s">
        <v>10</v>
      </c>
      <c r="B14" s="269" t="s">
        <v>344</v>
      </c>
      <c r="C14" s="268"/>
      <c r="D14" s="270">
        <f>SUM(D15:D16)</f>
        <v>0</v>
      </c>
      <c r="E14" s="271"/>
      <c r="F14" s="271"/>
      <c r="G14" s="271"/>
      <c r="H14" s="271"/>
      <c r="I14" s="272"/>
      <c r="J14" s="272"/>
      <c r="K14" s="270">
        <f>SUM(K15:K16)</f>
        <v>0</v>
      </c>
      <c r="L14" s="272"/>
      <c r="M14" s="272"/>
      <c r="N14" s="272"/>
      <c r="O14" s="272"/>
      <c r="P14" s="270">
        <f>SUM(P15:P16)</f>
        <v>0</v>
      </c>
      <c r="Q14" s="272"/>
      <c r="R14" s="248"/>
    </row>
    <row r="15" spans="1:18" ht="12.6" customHeight="1">
      <c r="A15" s="295">
        <v>1</v>
      </c>
      <c r="B15" s="296"/>
      <c r="C15" s="295"/>
      <c r="D15" s="297"/>
      <c r="E15" s="298"/>
      <c r="F15" s="298"/>
      <c r="G15" s="298"/>
      <c r="H15" s="298"/>
      <c r="I15" s="299"/>
      <c r="J15" s="299"/>
      <c r="K15" s="299"/>
      <c r="L15" s="299"/>
      <c r="M15" s="299"/>
      <c r="N15" s="299"/>
      <c r="O15" s="299"/>
      <c r="P15" s="299"/>
      <c r="Q15" s="299"/>
      <c r="R15" s="239"/>
    </row>
    <row r="16" spans="1:18" ht="12.6" customHeight="1">
      <c r="A16" s="295">
        <v>2</v>
      </c>
      <c r="B16" s="296"/>
      <c r="C16" s="295"/>
      <c r="D16" s="297"/>
      <c r="E16" s="298"/>
      <c r="F16" s="298"/>
      <c r="G16" s="298"/>
      <c r="H16" s="298"/>
      <c r="I16" s="299"/>
      <c r="J16" s="299"/>
      <c r="K16" s="299"/>
      <c r="L16" s="299"/>
      <c r="M16" s="299"/>
      <c r="N16" s="299"/>
      <c r="O16" s="299"/>
      <c r="P16" s="299"/>
      <c r="Q16" s="299"/>
      <c r="R16" s="239"/>
    </row>
    <row r="17" spans="1:18" s="247" customFormat="1" ht="12.6" customHeight="1">
      <c r="A17" s="268" t="s">
        <v>92</v>
      </c>
      <c r="B17" s="269" t="s">
        <v>345</v>
      </c>
      <c r="C17" s="276"/>
      <c r="D17" s="309">
        <f>SUM(D18:D19)</f>
        <v>0</v>
      </c>
      <c r="E17" s="277"/>
      <c r="F17" s="277"/>
      <c r="G17" s="277"/>
      <c r="H17" s="277"/>
      <c r="I17" s="278"/>
      <c r="J17" s="278"/>
      <c r="K17" s="309">
        <f>SUM(K18:K19)</f>
        <v>0</v>
      </c>
      <c r="L17" s="278"/>
      <c r="M17" s="278"/>
      <c r="N17" s="278"/>
      <c r="O17" s="278"/>
      <c r="P17" s="309">
        <f>SUM(P18:P19)</f>
        <v>0</v>
      </c>
      <c r="Q17" s="278"/>
      <c r="R17" s="246"/>
    </row>
    <row r="18" spans="1:18" ht="12.6" customHeight="1">
      <c r="A18" s="295">
        <v>1</v>
      </c>
      <c r="B18" s="296"/>
      <c r="C18" s="295"/>
      <c r="D18" s="297"/>
      <c r="E18" s="298"/>
      <c r="F18" s="298"/>
      <c r="G18" s="298"/>
      <c r="H18" s="298"/>
      <c r="I18" s="299"/>
      <c r="J18" s="299"/>
      <c r="K18" s="299"/>
      <c r="L18" s="299"/>
      <c r="M18" s="299"/>
      <c r="N18" s="299"/>
      <c r="O18" s="299"/>
      <c r="P18" s="299"/>
      <c r="Q18" s="299"/>
      <c r="R18" s="239"/>
    </row>
    <row r="19" spans="1:18" ht="12.6" customHeight="1">
      <c r="A19" s="295">
        <v>2</v>
      </c>
      <c r="B19" s="296"/>
      <c r="C19" s="295"/>
      <c r="D19" s="297"/>
      <c r="E19" s="298"/>
      <c r="F19" s="298"/>
      <c r="G19" s="298"/>
      <c r="H19" s="298"/>
      <c r="I19" s="299"/>
      <c r="J19" s="299"/>
      <c r="K19" s="299"/>
      <c r="L19" s="299"/>
      <c r="M19" s="299"/>
      <c r="N19" s="299"/>
      <c r="O19" s="299"/>
      <c r="P19" s="299"/>
      <c r="Q19" s="299"/>
      <c r="R19" s="239"/>
    </row>
    <row r="20" spans="1:18" s="243" customFormat="1" ht="12.6" customHeight="1">
      <c r="A20" s="268" t="s">
        <v>93</v>
      </c>
      <c r="B20" s="269" t="s">
        <v>346</v>
      </c>
      <c r="C20" s="268"/>
      <c r="D20" s="270">
        <f>SUM(D21:D30)</f>
        <v>16881.663</v>
      </c>
      <c r="E20" s="271"/>
      <c r="F20" s="271"/>
      <c r="G20" s="271"/>
      <c r="H20" s="271"/>
      <c r="I20" s="272"/>
      <c r="J20" s="272"/>
      <c r="K20" s="270">
        <f>SUM(K21:K30)</f>
        <v>41916.428</v>
      </c>
      <c r="L20" s="272"/>
      <c r="M20" s="272"/>
      <c r="N20" s="272"/>
      <c r="O20" s="272"/>
      <c r="P20" s="270">
        <f>SUM(P21:P30)</f>
        <v>2908.55</v>
      </c>
      <c r="Q20" s="272"/>
      <c r="R20" s="248"/>
    </row>
    <row r="21" spans="1:18" ht="39" customHeight="1">
      <c r="A21" s="295">
        <v>1</v>
      </c>
      <c r="B21" s="52" t="s">
        <v>105</v>
      </c>
      <c r="C21" s="295" t="str">
        <f>'BC UBND Huyện 15 hàng tháng'!C35</f>
        <v>xã TTB</v>
      </c>
      <c r="D21" s="297">
        <f>'BC UBND Huyện 15 hàng tháng'!Q35/1000</f>
        <v>2968</v>
      </c>
      <c r="E21" s="298"/>
      <c r="F21" s="298"/>
      <c r="G21" s="295" t="s">
        <v>361</v>
      </c>
      <c r="H21" s="300" t="s">
        <v>360</v>
      </c>
      <c r="I21" s="301">
        <v>3639</v>
      </c>
      <c r="J21" s="299"/>
      <c r="K21" s="299">
        <f>'BC UBND Huyện 15 hàng tháng'!E35/1000</f>
        <v>10580.32</v>
      </c>
      <c r="L21" s="299"/>
      <c r="M21" s="299"/>
      <c r="N21" s="299"/>
      <c r="O21" s="299"/>
      <c r="P21" s="299">
        <f>'BC UBND Huyện 15 hàng tháng'!U35/1000</f>
        <v>1549.44</v>
      </c>
      <c r="Q21" s="302">
        <f>'BC UBND Huyện 15 hàng tháng'!P35</f>
        <v>95</v>
      </c>
      <c r="R21" s="239"/>
    </row>
    <row r="22" spans="1:18" ht="39" customHeight="1">
      <c r="A22" s="295">
        <v>2</v>
      </c>
      <c r="B22" s="52" t="s">
        <v>106</v>
      </c>
      <c r="C22" s="295" t="str">
        <f>'BC UBND Huyện 15 hàng tháng'!C36</f>
        <v>xã TTA-TP</v>
      </c>
      <c r="D22" s="297">
        <f>'BC UBND Huyện 15 hàng tháng'!Q36/1000</f>
        <v>4600.3519999999999</v>
      </c>
      <c r="E22" s="298"/>
      <c r="F22" s="298"/>
      <c r="G22" s="295" t="s">
        <v>362</v>
      </c>
      <c r="H22" s="303" t="s">
        <v>363</v>
      </c>
      <c r="I22" s="301">
        <v>3841</v>
      </c>
      <c r="J22" s="299"/>
      <c r="K22" s="299">
        <f>'BC UBND Huyện 15 hàng tháng'!E36/1000</f>
        <v>7715.1909999999998</v>
      </c>
      <c r="L22" s="299"/>
      <c r="M22" s="299"/>
      <c r="N22" s="299"/>
      <c r="O22" s="299"/>
      <c r="P22" s="299">
        <f>'BC UBND Huyện 15 hàng tháng'!U36/1000</f>
        <v>137.71600000000001</v>
      </c>
      <c r="Q22" s="302">
        <f>'BC UBND Huyện 15 hàng tháng'!P36</f>
        <v>45</v>
      </c>
      <c r="R22" s="239"/>
    </row>
    <row r="23" spans="1:18" ht="39" customHeight="1">
      <c r="A23" s="295">
        <v>3</v>
      </c>
      <c r="B23" s="52" t="s">
        <v>125</v>
      </c>
      <c r="C23" s="295" t="str">
        <f>'BC UBND Huyện 15 hàng tháng'!C37</f>
        <v>xã TP</v>
      </c>
      <c r="D23" s="297">
        <f>'BC UBND Huyện 15 hàng tháng'!Q37/1000</f>
        <v>1565.3109999999999</v>
      </c>
      <c r="E23" s="298"/>
      <c r="F23" s="298"/>
      <c r="G23" s="295" t="s">
        <v>362</v>
      </c>
      <c r="H23" s="300"/>
      <c r="I23" s="301">
        <v>2180</v>
      </c>
      <c r="J23" s="299"/>
      <c r="K23" s="299">
        <f>'BC UBND Huyện 15 hàng tháng'!E37/1000</f>
        <v>3492.0239999999999</v>
      </c>
      <c r="L23" s="299"/>
      <c r="M23" s="299"/>
      <c r="N23" s="299"/>
      <c r="O23" s="299"/>
      <c r="P23" s="299">
        <f>'BC UBND Huyện 15 hàng tháng'!U37/1000</f>
        <v>1221.394</v>
      </c>
      <c r="Q23" s="302">
        <f>'BC UBND Huyện 15 hàng tháng'!P37</f>
        <v>95</v>
      </c>
      <c r="R23" s="239"/>
    </row>
    <row r="24" spans="1:18" s="433" customFormat="1" ht="57" customHeight="1">
      <c r="A24" s="426">
        <v>4</v>
      </c>
      <c r="B24" s="427" t="s">
        <v>208</v>
      </c>
      <c r="C24" s="426" t="str">
        <f>'BC UBND Huyện 15 hàng tháng'!C129</f>
        <v>xã Ap</v>
      </c>
      <c r="D24" s="428">
        <f>'BC UBND Huyện 15 hàng tháng'!Q129/1000</f>
        <v>982</v>
      </c>
      <c r="E24" s="429"/>
      <c r="F24" s="429"/>
      <c r="G24" s="429"/>
      <c r="H24" s="429"/>
      <c r="I24" s="430"/>
      <c r="J24" s="430"/>
      <c r="K24" s="430">
        <f>'BC UBND Huyện 15 hàng tháng'!E129/1000</f>
        <v>0</v>
      </c>
      <c r="L24" s="430"/>
      <c r="M24" s="430"/>
      <c r="N24" s="430"/>
      <c r="O24" s="430"/>
      <c r="P24" s="430">
        <f>'BC UBND Huyện 15 hàng tháng'!U129/1000</f>
        <v>0</v>
      </c>
      <c r="Q24" s="431" t="str">
        <f>'BC UBND Huyện 15 hàng tháng'!X129</f>
        <v>Đang lập HS trình thẩm định</v>
      </c>
      <c r="R24" s="432"/>
    </row>
    <row r="25" spans="1:18" ht="46.5" customHeight="1">
      <c r="A25" s="295">
        <v>5</v>
      </c>
      <c r="B25" s="52" t="s">
        <v>209</v>
      </c>
      <c r="C25" s="295" t="str">
        <f>'BC UBND Huyện 15 hàng tháng'!C130</f>
        <v>xã TTA</v>
      </c>
      <c r="D25" s="297">
        <f>'BC UBND Huyện 15 hàng tháng'!Q130/1000</f>
        <v>950</v>
      </c>
      <c r="E25" s="298"/>
      <c r="F25" s="298"/>
      <c r="G25" s="295" t="s">
        <v>362</v>
      </c>
      <c r="H25" s="298"/>
      <c r="I25" s="461">
        <v>3339.9</v>
      </c>
      <c r="J25" s="299"/>
      <c r="K25" s="299">
        <f>'BC UBND Huyện 15 hàng tháng'!E130/1000</f>
        <v>4184.9489999999996</v>
      </c>
      <c r="L25" s="299"/>
      <c r="M25" s="299"/>
      <c r="N25" s="299"/>
      <c r="O25" s="299"/>
      <c r="P25" s="299">
        <f>'BC UBND Huyện 15 hàng tháng'!U130/1000</f>
        <v>0</v>
      </c>
      <c r="Q25" s="302">
        <f>'BC UBND Huyện 15 hàng tháng'!P130</f>
        <v>0</v>
      </c>
      <c r="R25" s="239"/>
    </row>
    <row r="26" spans="1:18" ht="46.5" customHeight="1">
      <c r="A26" s="295">
        <v>6</v>
      </c>
      <c r="B26" s="52" t="s">
        <v>210</v>
      </c>
      <c r="C26" s="295" t="str">
        <f>'BC UBND Huyện 15 hàng tháng'!C131</f>
        <v>xã TCC</v>
      </c>
      <c r="D26" s="297">
        <f>'BC UBND Huyện 15 hàng tháng'!Q131/1000</f>
        <v>500</v>
      </c>
      <c r="E26" s="298"/>
      <c r="F26" s="298"/>
      <c r="G26" s="295" t="s">
        <v>362</v>
      </c>
      <c r="H26" s="298"/>
      <c r="I26" s="460">
        <v>463.91</v>
      </c>
      <c r="J26" s="299"/>
      <c r="K26" s="299">
        <f>'BC UBND Huyện 15 hàng tháng'!E131/1000</f>
        <v>1458.7650000000001</v>
      </c>
      <c r="L26" s="299"/>
      <c r="M26" s="299"/>
      <c r="N26" s="299"/>
      <c r="O26" s="299"/>
      <c r="P26" s="299">
        <f>'BC UBND Huyện 15 hàng tháng'!U131/1000</f>
        <v>0</v>
      </c>
      <c r="Q26" s="302">
        <f>'BC UBND Huyện 15 hàng tháng'!P131</f>
        <v>0</v>
      </c>
      <c r="R26" s="239"/>
    </row>
    <row r="27" spans="1:18" ht="46.5" customHeight="1">
      <c r="A27" s="295">
        <v>7</v>
      </c>
      <c r="B27" s="52" t="s">
        <v>211</v>
      </c>
      <c r="C27" s="295" t="str">
        <f>'BC UBND Huyện 15 hàng tháng'!C132</f>
        <v>xã TCC</v>
      </c>
      <c r="D27" s="297">
        <f>'BC UBND Huyện 15 hàng tháng'!Q132/1000</f>
        <v>500</v>
      </c>
      <c r="E27" s="298"/>
      <c r="F27" s="298"/>
      <c r="G27" s="295" t="s">
        <v>591</v>
      </c>
      <c r="H27" s="295" t="s">
        <v>593</v>
      </c>
      <c r="I27" s="302" t="s">
        <v>592</v>
      </c>
      <c r="J27" s="299"/>
      <c r="K27" s="299">
        <f>'BC UBND Huyện 15 hàng tháng'!E132/1000</f>
        <v>1303.9269999999999</v>
      </c>
      <c r="L27" s="299"/>
      <c r="M27" s="299"/>
      <c r="N27" s="299"/>
      <c r="O27" s="299"/>
      <c r="P27" s="299">
        <f>'BC UBND Huyện 15 hàng tháng'!U132/1000</f>
        <v>0</v>
      </c>
      <c r="Q27" s="302">
        <f>'BC UBND Huyện 15 hàng tháng'!P132</f>
        <v>0</v>
      </c>
      <c r="R27" s="239"/>
    </row>
    <row r="28" spans="1:18" ht="46.5" customHeight="1">
      <c r="A28" s="295">
        <v>8</v>
      </c>
      <c r="B28" s="52" t="s">
        <v>212</v>
      </c>
      <c r="C28" s="295" t="str">
        <f>'BC UBND Huyện 15 hàng tháng'!C133</f>
        <v>xã TP</v>
      </c>
      <c r="D28" s="297">
        <f>'BC UBND Huyện 15 hàng tháng'!Q133/1000</f>
        <v>600</v>
      </c>
      <c r="E28" s="298"/>
      <c r="F28" s="298"/>
      <c r="G28" s="298"/>
      <c r="H28" s="298"/>
      <c r="I28" s="299"/>
      <c r="J28" s="299"/>
      <c r="K28" s="299">
        <f>'BC UBND Huyện 15 hàng tháng'!E133/1000</f>
        <v>0</v>
      </c>
      <c r="L28" s="299"/>
      <c r="M28" s="299"/>
      <c r="N28" s="299"/>
      <c r="O28" s="299"/>
      <c r="P28" s="299">
        <f>'BC UBND Huyện 15 hàng tháng'!U133/1000</f>
        <v>0</v>
      </c>
      <c r="Q28" s="302">
        <f>'BC UBND Huyện 15 hàng tháng'!P133</f>
        <v>0</v>
      </c>
      <c r="R28" s="239"/>
    </row>
    <row r="29" spans="1:18" ht="55.5" customHeight="1">
      <c r="A29" s="295">
        <v>9</v>
      </c>
      <c r="B29" s="52" t="s">
        <v>213</v>
      </c>
      <c r="C29" s="295" t="str">
        <f>'BC UBND Huyện 15 hàng tháng'!C134</f>
        <v>xã TP</v>
      </c>
      <c r="D29" s="297">
        <f>'BC UBND Huyện 15 hàng tháng'!Q134/1000</f>
        <v>550</v>
      </c>
      <c r="E29" s="298"/>
      <c r="F29" s="298"/>
      <c r="G29" s="295" t="s">
        <v>594</v>
      </c>
      <c r="H29" s="295" t="s">
        <v>596</v>
      </c>
      <c r="I29" s="302" t="s">
        <v>595</v>
      </c>
      <c r="J29" s="299"/>
      <c r="K29" s="299">
        <f>'BC UBND Huyện 15 hàng tháng'!E134/1000</f>
        <v>686.92</v>
      </c>
      <c r="L29" s="299"/>
      <c r="M29" s="299"/>
      <c r="N29" s="299"/>
      <c r="O29" s="299"/>
      <c r="P29" s="299">
        <f>'BC UBND Huyện 15 hàng tháng'!U134/1000</f>
        <v>0</v>
      </c>
      <c r="Q29" s="302">
        <f>'BC UBND Huyện 15 hàng tháng'!P134</f>
        <v>0</v>
      </c>
      <c r="R29" s="239"/>
    </row>
    <row r="30" spans="1:18" ht="46.5" customHeight="1">
      <c r="A30" s="304">
        <v>10</v>
      </c>
      <c r="B30" s="63" t="s">
        <v>214</v>
      </c>
      <c r="C30" s="304" t="str">
        <f>'BC UBND Huyện 15 hàng tháng'!C135</f>
        <v>xã TTA-TP</v>
      </c>
      <c r="D30" s="305">
        <f>'BC UBND Huyện 15 hàng tháng'!Q135/1000</f>
        <v>3666</v>
      </c>
      <c r="E30" s="306"/>
      <c r="F30" s="306"/>
      <c r="G30" s="304" t="s">
        <v>597</v>
      </c>
      <c r="H30" s="306"/>
      <c r="I30" s="307">
        <v>5100</v>
      </c>
      <c r="J30" s="307"/>
      <c r="K30" s="307">
        <f>'BC UBND Huyện 15 hàng tháng'!E135/1000</f>
        <v>12494.332</v>
      </c>
      <c r="L30" s="307"/>
      <c r="M30" s="307"/>
      <c r="N30" s="307"/>
      <c r="O30" s="307"/>
      <c r="P30" s="307">
        <f>'BC UBND Huyện 15 hàng tháng'!U135/1000</f>
        <v>0</v>
      </c>
      <c r="Q30" s="308">
        <f>'BC UBND Huyện 15 hàng tháng'!P135</f>
        <v>0</v>
      </c>
      <c r="R30" s="239"/>
    </row>
    <row r="31" spans="1:18" ht="5.45" customHeight="1"/>
    <row r="32" spans="1:18" ht="16.899999999999999" customHeight="1">
      <c r="B32" s="779" t="s">
        <v>339</v>
      </c>
      <c r="C32" s="779"/>
      <c r="D32" s="779"/>
      <c r="E32" s="779"/>
      <c r="F32" s="779"/>
      <c r="G32" s="779"/>
      <c r="H32" s="779"/>
      <c r="I32" s="779"/>
      <c r="J32" s="779"/>
      <c r="K32" s="779"/>
      <c r="L32" s="779"/>
      <c r="M32" s="779"/>
      <c r="N32" s="779"/>
      <c r="O32" s="779"/>
      <c r="P32" s="779"/>
      <c r="Q32" s="779"/>
    </row>
    <row r="33" spans="2:17" ht="5.45" customHeight="1"/>
    <row r="34" spans="2:17" ht="17.45" customHeight="1">
      <c r="B34" s="238" t="s">
        <v>26</v>
      </c>
      <c r="C34" s="238"/>
      <c r="J34" s="780" t="s">
        <v>318</v>
      </c>
      <c r="K34" s="780"/>
      <c r="L34" s="780"/>
      <c r="M34" s="780"/>
      <c r="N34" s="780"/>
      <c r="O34" s="780"/>
      <c r="P34" s="780"/>
      <c r="Q34" s="780"/>
    </row>
    <row r="35" spans="2:17" ht="17.45" customHeight="1">
      <c r="B35" s="781" t="s">
        <v>83</v>
      </c>
      <c r="C35" s="781"/>
      <c r="J35" s="782" t="s">
        <v>340</v>
      </c>
      <c r="K35" s="782"/>
      <c r="L35" s="782"/>
      <c r="M35" s="782"/>
      <c r="N35" s="782"/>
      <c r="O35" s="782"/>
      <c r="P35" s="782"/>
      <c r="Q35" s="782"/>
    </row>
    <row r="36" spans="2:17">
      <c r="B36" s="781" t="s">
        <v>341</v>
      </c>
      <c r="C36" s="781"/>
    </row>
  </sheetData>
  <mergeCells count="20">
    <mergeCell ref="B32:Q32"/>
    <mergeCell ref="J34:Q34"/>
    <mergeCell ref="B35:C35"/>
    <mergeCell ref="J35:Q35"/>
    <mergeCell ref="B36:C36"/>
    <mergeCell ref="Q8:Q9"/>
    <mergeCell ref="H1:Q1"/>
    <mergeCell ref="H2:Q2"/>
    <mergeCell ref="H4:Q4"/>
    <mergeCell ref="A8:A9"/>
    <mergeCell ref="B8:B9"/>
    <mergeCell ref="C8:C9"/>
    <mergeCell ref="D8:D9"/>
    <mergeCell ref="E8:K8"/>
    <mergeCell ref="L8:P8"/>
    <mergeCell ref="A1:B1"/>
    <mergeCell ref="A2:B2"/>
    <mergeCell ref="A3:B3"/>
    <mergeCell ref="A4:B4"/>
    <mergeCell ref="A6:Q6"/>
  </mergeCells>
  <pageMargins left="0.24" right="0.17" top="0.63" bottom="0.33" header="0.3" footer="0.2"/>
  <pageSetup paperSize="9" scale="90" orientation="landscape" verticalDpi="0" r:id="rId1"/>
  <headerFooter>
    <oddFooter>&amp;R&amp;8&amp;P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52"/>
  <sheetViews>
    <sheetView topLeftCell="A9" zoomScale="85" zoomScaleNormal="85" workbookViewId="0">
      <pane xSplit="2" ySplit="3" topLeftCell="C66" activePane="bottomRight" state="frozen"/>
      <selection activeCell="A9" sqref="A9"/>
      <selection pane="topRight" activeCell="C9" sqref="C9"/>
      <selection pane="bottomLeft" activeCell="A12" sqref="A12"/>
      <selection pane="bottomRight" activeCell="C22" sqref="C22"/>
    </sheetView>
  </sheetViews>
  <sheetFormatPr defaultRowHeight="12.75"/>
  <cols>
    <col min="1" max="1" width="5.42578125" style="321" customWidth="1"/>
    <col min="2" max="2" width="21.7109375" style="321" customWidth="1"/>
    <col min="3" max="3" width="8.140625" style="321" customWidth="1"/>
    <col min="4" max="4" width="12.140625" style="321" customWidth="1"/>
    <col min="5" max="5" width="11.140625" style="321" customWidth="1"/>
    <col min="6" max="6" width="12" style="321" customWidth="1"/>
    <col min="7" max="12" width="12.42578125" style="321" customWidth="1"/>
    <col min="13" max="13" width="7.7109375" style="321" customWidth="1"/>
    <col min="14" max="14" width="10.85546875" style="321" customWidth="1"/>
    <col min="15" max="17" width="11.42578125" style="463" customWidth="1"/>
    <col min="18" max="21" width="7.85546875" style="321" customWidth="1"/>
    <col min="22" max="22" width="8.42578125" style="321" customWidth="1"/>
    <col min="23" max="23" width="9.140625" style="321" customWidth="1"/>
    <col min="24" max="25" width="8.28515625" style="321" customWidth="1"/>
    <col min="26" max="26" width="6.7109375" style="321" customWidth="1"/>
    <col min="27" max="29" width="6.28515625" style="321" customWidth="1"/>
    <col min="30" max="30" width="5.7109375" style="321" customWidth="1"/>
    <col min="31" max="31" width="6.140625" style="321" customWidth="1"/>
    <col min="32" max="32" width="6.28515625" style="321" customWidth="1"/>
    <col min="33" max="34" width="7.5703125" style="321" customWidth="1"/>
    <col min="35" max="36" width="7.140625" style="321" customWidth="1"/>
    <col min="37" max="37" width="8.140625" style="321" customWidth="1"/>
    <col min="38" max="38" width="9.140625" style="321" customWidth="1"/>
    <col min="39" max="39" width="6.7109375" style="321" customWidth="1"/>
    <col min="40" max="40" width="7.7109375" style="321" customWidth="1"/>
    <col min="41" max="42" width="6.140625" style="321" customWidth="1"/>
    <col min="43" max="43" width="10.85546875" style="353" customWidth="1"/>
    <col min="44" max="44" width="11.85546875" style="321" customWidth="1"/>
    <col min="45" max="47" width="20.42578125" style="353" customWidth="1"/>
    <col min="48" max="48" width="6.140625" style="353" customWidth="1"/>
    <col min="49" max="53" width="0" style="321" hidden="1" customWidth="1"/>
    <col min="54" max="54" width="0.85546875" style="321" customWidth="1"/>
    <col min="55" max="16384" width="9.140625" style="321"/>
  </cols>
  <sheetData>
    <row r="1" spans="1:53">
      <c r="A1" s="774" t="s">
        <v>0</v>
      </c>
      <c r="B1" s="774"/>
      <c r="C1" s="774"/>
      <c r="D1" s="774"/>
      <c r="E1" s="760" t="s">
        <v>34</v>
      </c>
      <c r="F1" s="760"/>
      <c r="G1" s="760"/>
      <c r="H1" s="760"/>
      <c r="I1" s="760"/>
      <c r="J1" s="760"/>
      <c r="K1" s="760"/>
      <c r="L1" s="760"/>
      <c r="M1" s="760"/>
      <c r="N1" s="760"/>
      <c r="O1" s="760"/>
      <c r="P1" s="760"/>
      <c r="Q1" s="760"/>
      <c r="R1" s="760"/>
      <c r="S1" s="760"/>
      <c r="T1" s="760"/>
      <c r="U1" s="760"/>
      <c r="V1" s="760"/>
      <c r="W1" s="760"/>
      <c r="X1" s="760"/>
      <c r="Y1" s="760"/>
      <c r="Z1" s="760"/>
      <c r="AA1" s="760"/>
      <c r="AB1" s="760"/>
      <c r="AC1" s="760"/>
      <c r="AD1" s="760"/>
      <c r="AE1" s="760"/>
      <c r="AF1" s="760"/>
      <c r="AG1" s="760"/>
      <c r="AH1" s="760"/>
      <c r="AI1" s="760"/>
      <c r="AJ1" s="760"/>
      <c r="AK1" s="760"/>
      <c r="AL1" s="760"/>
      <c r="AM1" s="760"/>
      <c r="AN1" s="760"/>
      <c r="AO1" s="760"/>
      <c r="AP1" s="760"/>
      <c r="AQ1" s="760"/>
      <c r="AR1" s="760"/>
      <c r="AS1" s="760"/>
      <c r="AT1" s="760"/>
      <c r="AU1" s="760"/>
      <c r="AV1" s="760"/>
    </row>
    <row r="2" spans="1:53" ht="15.75" customHeight="1">
      <c r="A2" s="775" t="s">
        <v>1</v>
      </c>
      <c r="B2" s="775"/>
      <c r="C2" s="775"/>
      <c r="D2" s="775"/>
      <c r="E2" s="760" t="s">
        <v>35</v>
      </c>
      <c r="F2" s="760"/>
      <c r="G2" s="760"/>
      <c r="H2" s="760"/>
      <c r="I2" s="760"/>
      <c r="J2" s="760"/>
      <c r="K2" s="760"/>
      <c r="L2" s="760"/>
      <c r="M2" s="760"/>
      <c r="N2" s="760"/>
      <c r="O2" s="760"/>
      <c r="P2" s="760"/>
      <c r="Q2" s="760"/>
      <c r="R2" s="760"/>
      <c r="S2" s="760"/>
      <c r="T2" s="760"/>
      <c r="U2" s="760"/>
      <c r="V2" s="760"/>
      <c r="W2" s="760"/>
      <c r="X2" s="760"/>
      <c r="Y2" s="760"/>
      <c r="Z2" s="760"/>
      <c r="AA2" s="760"/>
      <c r="AB2" s="760"/>
      <c r="AC2" s="760"/>
      <c r="AD2" s="760"/>
      <c r="AE2" s="760"/>
      <c r="AF2" s="760"/>
      <c r="AG2" s="760"/>
      <c r="AH2" s="760"/>
      <c r="AI2" s="760"/>
      <c r="AJ2" s="760"/>
      <c r="AK2" s="760"/>
      <c r="AL2" s="760"/>
      <c r="AM2" s="760"/>
      <c r="AN2" s="760"/>
      <c r="AO2" s="760"/>
      <c r="AP2" s="760"/>
      <c r="AQ2" s="760"/>
      <c r="AR2" s="760"/>
      <c r="AS2" s="760"/>
      <c r="AT2" s="760"/>
      <c r="AU2" s="760"/>
      <c r="AV2" s="760"/>
    </row>
    <row r="3" spans="1:53">
      <c r="A3" s="775" t="s">
        <v>36</v>
      </c>
      <c r="B3" s="775"/>
      <c r="C3" s="775"/>
      <c r="D3" s="775"/>
      <c r="E3" s="769" t="s">
        <v>527</v>
      </c>
      <c r="F3" s="769"/>
      <c r="G3" s="769"/>
      <c r="H3" s="769"/>
      <c r="I3" s="769"/>
      <c r="J3" s="769"/>
      <c r="K3" s="769"/>
      <c r="L3" s="769"/>
      <c r="M3" s="769"/>
      <c r="N3" s="769"/>
      <c r="O3" s="769"/>
      <c r="P3" s="769"/>
      <c r="Q3" s="769"/>
      <c r="R3" s="769"/>
      <c r="S3" s="769"/>
      <c r="T3" s="769"/>
      <c r="U3" s="769"/>
      <c r="V3" s="769"/>
      <c r="W3" s="769"/>
      <c r="X3" s="769"/>
      <c r="Y3" s="769"/>
      <c r="Z3" s="769"/>
      <c r="AA3" s="769"/>
      <c r="AB3" s="769"/>
      <c r="AC3" s="769"/>
      <c r="AD3" s="769"/>
      <c r="AE3" s="769"/>
      <c r="AF3" s="769"/>
      <c r="AG3" s="769"/>
      <c r="AH3" s="769"/>
      <c r="AI3" s="769"/>
      <c r="AJ3" s="769"/>
      <c r="AK3" s="769"/>
      <c r="AL3" s="769"/>
      <c r="AM3" s="769"/>
      <c r="AN3" s="769"/>
      <c r="AO3" s="769"/>
      <c r="AP3" s="769"/>
      <c r="AQ3" s="769"/>
      <c r="AR3" s="769"/>
      <c r="AS3" s="769"/>
      <c r="AT3" s="769"/>
      <c r="AU3" s="769"/>
      <c r="AV3" s="769"/>
    </row>
    <row r="4" spans="1:53">
      <c r="A4" s="774" t="s">
        <v>72</v>
      </c>
      <c r="B4" s="774"/>
      <c r="C4" s="774"/>
      <c r="D4" s="774"/>
    </row>
    <row r="6" spans="1:53" ht="29.25" customHeight="1">
      <c r="A6" s="784" t="s">
        <v>287</v>
      </c>
      <c r="B6" s="784"/>
      <c r="C6" s="784"/>
      <c r="D6" s="784"/>
      <c r="E6" s="784"/>
      <c r="F6" s="784"/>
      <c r="G6" s="784"/>
      <c r="H6" s="784"/>
      <c r="I6" s="784"/>
      <c r="J6" s="784"/>
      <c r="K6" s="784"/>
      <c r="L6" s="784"/>
      <c r="M6" s="784"/>
      <c r="N6" s="784"/>
      <c r="O6" s="784"/>
      <c r="P6" s="784"/>
      <c r="Q6" s="784"/>
      <c r="R6" s="784"/>
      <c r="S6" s="784"/>
      <c r="T6" s="784"/>
      <c r="U6" s="784"/>
      <c r="V6" s="784"/>
      <c r="W6" s="784"/>
      <c r="X6" s="784"/>
      <c r="Y6" s="784"/>
      <c r="Z6" s="784"/>
      <c r="AA6" s="784"/>
      <c r="AB6" s="784"/>
      <c r="AC6" s="784"/>
      <c r="AD6" s="784"/>
      <c r="AE6" s="784"/>
      <c r="AF6" s="784"/>
      <c r="AG6" s="784"/>
      <c r="AH6" s="784"/>
      <c r="AI6" s="784"/>
      <c r="AJ6" s="784"/>
      <c r="AK6" s="784"/>
      <c r="AL6" s="784"/>
      <c r="AM6" s="784"/>
      <c r="AN6" s="784"/>
      <c r="AO6" s="784"/>
      <c r="AP6" s="784"/>
      <c r="AQ6" s="784"/>
      <c r="AR6" s="784"/>
      <c r="AS6" s="784"/>
      <c r="AT6" s="784"/>
      <c r="AU6" s="784"/>
      <c r="AV6" s="784"/>
    </row>
    <row r="9" spans="1:53" ht="39.75" customHeight="1">
      <c r="A9" s="785" t="s">
        <v>129</v>
      </c>
      <c r="B9" s="785" t="s">
        <v>130</v>
      </c>
      <c r="C9" s="761" t="s">
        <v>375</v>
      </c>
      <c r="D9" s="761" t="s">
        <v>131</v>
      </c>
      <c r="E9" s="761" t="s">
        <v>376</v>
      </c>
      <c r="F9" s="761" t="s">
        <v>377</v>
      </c>
      <c r="G9" s="761" t="s">
        <v>378</v>
      </c>
      <c r="H9" s="761"/>
      <c r="I9" s="761"/>
      <c r="J9" s="761" t="s">
        <v>379</v>
      </c>
      <c r="K9" s="761"/>
      <c r="L9" s="761"/>
      <c r="M9" s="786" t="s">
        <v>132</v>
      </c>
      <c r="N9" s="786" t="s">
        <v>380</v>
      </c>
      <c r="O9" s="787" t="s">
        <v>417</v>
      </c>
      <c r="P9" s="787"/>
      <c r="Q9" s="787"/>
      <c r="R9" s="788" t="s">
        <v>381</v>
      </c>
      <c r="S9" s="789"/>
      <c r="T9" s="789"/>
      <c r="U9" s="789"/>
      <c r="V9" s="789"/>
      <c r="W9" s="789"/>
      <c r="X9" s="789"/>
      <c r="Y9" s="789"/>
      <c r="Z9" s="789"/>
      <c r="AA9" s="789"/>
      <c r="AB9" s="789"/>
      <c r="AC9" s="789"/>
      <c r="AD9" s="789"/>
      <c r="AE9" s="789"/>
      <c r="AF9" s="789"/>
      <c r="AG9" s="789"/>
      <c r="AH9" s="789"/>
      <c r="AI9" s="789"/>
      <c r="AJ9" s="789"/>
      <c r="AK9" s="789"/>
      <c r="AL9" s="789"/>
      <c r="AM9" s="789"/>
      <c r="AN9" s="789"/>
      <c r="AO9" s="789"/>
      <c r="AP9" s="789"/>
      <c r="AQ9" s="789"/>
      <c r="AR9" s="790"/>
      <c r="AS9" s="785" t="s">
        <v>382</v>
      </c>
      <c r="AT9" s="761" t="s">
        <v>383</v>
      </c>
      <c r="AU9" s="791" t="s">
        <v>133</v>
      </c>
      <c r="AV9" s="761" t="s">
        <v>431</v>
      </c>
      <c r="AW9" s="794" t="s">
        <v>416</v>
      </c>
      <c r="AX9" s="795"/>
      <c r="AY9" s="795"/>
      <c r="AZ9" s="795"/>
      <c r="BA9" s="796"/>
    </row>
    <row r="10" spans="1:53" ht="38.25" customHeight="1">
      <c r="A10" s="785"/>
      <c r="B10" s="785"/>
      <c r="C10" s="761"/>
      <c r="D10" s="761"/>
      <c r="E10" s="761"/>
      <c r="F10" s="761"/>
      <c r="G10" s="793" t="s">
        <v>5</v>
      </c>
      <c r="H10" s="797" t="s">
        <v>134</v>
      </c>
      <c r="I10" s="798"/>
      <c r="J10" s="793" t="s">
        <v>5</v>
      </c>
      <c r="K10" s="797" t="s">
        <v>134</v>
      </c>
      <c r="L10" s="798"/>
      <c r="M10" s="786"/>
      <c r="N10" s="786"/>
      <c r="O10" s="799" t="s">
        <v>5</v>
      </c>
      <c r="P10" s="801" t="s">
        <v>134</v>
      </c>
      <c r="Q10" s="802"/>
      <c r="R10" s="788" t="s">
        <v>384</v>
      </c>
      <c r="S10" s="789"/>
      <c r="T10" s="789"/>
      <c r="U10" s="790"/>
      <c r="V10" s="788" t="s">
        <v>385</v>
      </c>
      <c r="W10" s="789"/>
      <c r="X10" s="789"/>
      <c r="Y10" s="789"/>
      <c r="Z10" s="789"/>
      <c r="AA10" s="789"/>
      <c r="AB10" s="789"/>
      <c r="AC10" s="790"/>
      <c r="AD10" s="788" t="s">
        <v>386</v>
      </c>
      <c r="AE10" s="789"/>
      <c r="AF10" s="789"/>
      <c r="AG10" s="789"/>
      <c r="AH10" s="790"/>
      <c r="AI10" s="788" t="s">
        <v>387</v>
      </c>
      <c r="AJ10" s="789"/>
      <c r="AK10" s="789"/>
      <c r="AL10" s="789"/>
      <c r="AM10" s="789"/>
      <c r="AN10" s="789"/>
      <c r="AO10" s="789"/>
      <c r="AP10" s="789"/>
      <c r="AQ10" s="790"/>
      <c r="AR10" s="791" t="s">
        <v>388</v>
      </c>
      <c r="AS10" s="785"/>
      <c r="AT10" s="761"/>
      <c r="AU10" s="793"/>
      <c r="AV10" s="761"/>
      <c r="AW10" s="42" t="s">
        <v>389</v>
      </c>
      <c r="AX10" s="42" t="s">
        <v>390</v>
      </c>
      <c r="AY10" s="42" t="s">
        <v>391</v>
      </c>
      <c r="AZ10" s="42" t="s">
        <v>392</v>
      </c>
      <c r="BA10" s="42" t="s">
        <v>393</v>
      </c>
    </row>
    <row r="11" spans="1:53" ht="139.5" customHeight="1">
      <c r="A11" s="785"/>
      <c r="B11" s="785"/>
      <c r="C11" s="761"/>
      <c r="D11" s="761"/>
      <c r="E11" s="761"/>
      <c r="F11" s="761"/>
      <c r="G11" s="792"/>
      <c r="H11" s="318" t="s">
        <v>394</v>
      </c>
      <c r="I11" s="318" t="s">
        <v>395</v>
      </c>
      <c r="J11" s="792"/>
      <c r="K11" s="318" t="s">
        <v>394</v>
      </c>
      <c r="L11" s="318" t="s">
        <v>395</v>
      </c>
      <c r="M11" s="786"/>
      <c r="N11" s="786"/>
      <c r="O11" s="800"/>
      <c r="P11" s="464" t="s">
        <v>394</v>
      </c>
      <c r="Q11" s="464" t="s">
        <v>395</v>
      </c>
      <c r="R11" s="317" t="s">
        <v>396</v>
      </c>
      <c r="S11" s="317" t="s">
        <v>397</v>
      </c>
      <c r="T11" s="317" t="s">
        <v>398</v>
      </c>
      <c r="U11" s="317" t="s">
        <v>399</v>
      </c>
      <c r="V11" s="317" t="s">
        <v>400</v>
      </c>
      <c r="W11" s="317" t="s">
        <v>401</v>
      </c>
      <c r="X11" s="317" t="s">
        <v>402</v>
      </c>
      <c r="Y11" s="317" t="s">
        <v>403</v>
      </c>
      <c r="Z11" s="317" t="s">
        <v>404</v>
      </c>
      <c r="AA11" s="317" t="s">
        <v>405</v>
      </c>
      <c r="AB11" s="317" t="s">
        <v>406</v>
      </c>
      <c r="AC11" s="317" t="s">
        <v>407</v>
      </c>
      <c r="AD11" s="42" t="s">
        <v>389</v>
      </c>
      <c r="AE11" s="42" t="s">
        <v>390</v>
      </c>
      <c r="AF11" s="42" t="s">
        <v>391</v>
      </c>
      <c r="AG11" s="42" t="s">
        <v>392</v>
      </c>
      <c r="AH11" s="42" t="s">
        <v>393</v>
      </c>
      <c r="AI11" s="42" t="s">
        <v>408</v>
      </c>
      <c r="AJ11" s="42" t="s">
        <v>409</v>
      </c>
      <c r="AK11" s="42" t="s">
        <v>410</v>
      </c>
      <c r="AL11" s="42" t="s">
        <v>411</v>
      </c>
      <c r="AM11" s="42" t="s">
        <v>412</v>
      </c>
      <c r="AN11" s="42" t="s">
        <v>413</v>
      </c>
      <c r="AO11" s="317" t="s">
        <v>429</v>
      </c>
      <c r="AP11" s="317" t="s">
        <v>414</v>
      </c>
      <c r="AQ11" s="319" t="s">
        <v>415</v>
      </c>
      <c r="AR11" s="792"/>
      <c r="AS11" s="785"/>
      <c r="AT11" s="761"/>
      <c r="AU11" s="792"/>
      <c r="AV11" s="761"/>
    </row>
    <row r="12" spans="1:53" s="332" customFormat="1">
      <c r="A12" s="330">
        <v>1</v>
      </c>
      <c r="B12" s="330">
        <v>2</v>
      </c>
      <c r="C12" s="331">
        <v>3</v>
      </c>
      <c r="D12" s="331">
        <v>4</v>
      </c>
      <c r="E12" s="352">
        <v>5</v>
      </c>
      <c r="F12" s="331">
        <v>6</v>
      </c>
      <c r="G12" s="331">
        <v>7</v>
      </c>
      <c r="H12" s="331">
        <v>8</v>
      </c>
      <c r="I12" s="331">
        <v>9</v>
      </c>
      <c r="J12" s="331">
        <v>10</v>
      </c>
      <c r="K12" s="331">
        <v>11</v>
      </c>
      <c r="L12" s="331">
        <v>12</v>
      </c>
      <c r="M12" s="331">
        <v>13</v>
      </c>
      <c r="N12" s="331">
        <v>14</v>
      </c>
      <c r="O12" s="465">
        <v>15</v>
      </c>
      <c r="P12" s="465">
        <v>16</v>
      </c>
      <c r="Q12" s="465">
        <v>17</v>
      </c>
      <c r="R12" s="331">
        <v>18</v>
      </c>
      <c r="S12" s="331">
        <v>19</v>
      </c>
      <c r="T12" s="331">
        <v>20</v>
      </c>
      <c r="U12" s="331">
        <v>21</v>
      </c>
      <c r="V12" s="331">
        <v>22</v>
      </c>
      <c r="W12" s="331">
        <v>23</v>
      </c>
      <c r="X12" s="331">
        <v>24</v>
      </c>
      <c r="Y12" s="331">
        <v>25</v>
      </c>
      <c r="Z12" s="331">
        <v>26</v>
      </c>
      <c r="AA12" s="331">
        <v>27</v>
      </c>
      <c r="AB12" s="331">
        <v>28</v>
      </c>
      <c r="AC12" s="331">
        <v>29</v>
      </c>
      <c r="AD12" s="331">
        <v>30</v>
      </c>
      <c r="AE12" s="331">
        <v>31</v>
      </c>
      <c r="AF12" s="331">
        <v>32</v>
      </c>
      <c r="AG12" s="331">
        <v>33</v>
      </c>
      <c r="AH12" s="331">
        <v>34</v>
      </c>
      <c r="AI12" s="331">
        <v>35</v>
      </c>
      <c r="AJ12" s="331">
        <v>36</v>
      </c>
      <c r="AK12" s="331">
        <v>37</v>
      </c>
      <c r="AL12" s="331">
        <v>38</v>
      </c>
      <c r="AM12" s="331">
        <v>39</v>
      </c>
      <c r="AN12" s="331">
        <v>40</v>
      </c>
      <c r="AO12" s="331">
        <v>41</v>
      </c>
      <c r="AP12" s="331">
        <v>42</v>
      </c>
      <c r="AQ12" s="331">
        <v>43</v>
      </c>
      <c r="AR12" s="331">
        <v>44</v>
      </c>
      <c r="AS12" s="331">
        <v>45</v>
      </c>
      <c r="AT12" s="331">
        <v>46</v>
      </c>
      <c r="AU12" s="331">
        <v>47</v>
      </c>
      <c r="AV12" s="331">
        <v>48</v>
      </c>
    </row>
    <row r="13" spans="1:53" s="338" customFormat="1" ht="33" customHeight="1">
      <c r="A13" s="343" t="s">
        <v>19</v>
      </c>
      <c r="B13" s="326" t="s">
        <v>42</v>
      </c>
      <c r="C13" s="344"/>
      <c r="D13" s="361">
        <f>D14+D29</f>
        <v>322257856</v>
      </c>
      <c r="E13" s="361">
        <f t="shared" ref="E13:L13" si="0">E14+E29</f>
        <v>59502337</v>
      </c>
      <c r="F13" s="361">
        <f t="shared" si="0"/>
        <v>492821000</v>
      </c>
      <c r="G13" s="361">
        <f t="shared" si="0"/>
        <v>269874657</v>
      </c>
      <c r="H13" s="361">
        <f t="shared" si="0"/>
        <v>74305176</v>
      </c>
      <c r="I13" s="361">
        <f t="shared" si="0"/>
        <v>195569481</v>
      </c>
      <c r="J13" s="361">
        <f t="shared" si="0"/>
        <v>13886997</v>
      </c>
      <c r="K13" s="361">
        <f t="shared" si="0"/>
        <v>2014421</v>
      </c>
      <c r="L13" s="361">
        <f t="shared" si="0"/>
        <v>11872576</v>
      </c>
      <c r="M13" s="359">
        <f>J13/G13*100</f>
        <v>5.1457210374518416</v>
      </c>
      <c r="N13" s="365">
        <f>N14+N29</f>
        <v>15691052.48</v>
      </c>
      <c r="O13" s="466">
        <f>O14+O29</f>
        <v>0</v>
      </c>
      <c r="P13" s="466">
        <f>P14+P29</f>
        <v>0</v>
      </c>
      <c r="Q13" s="466">
        <f>Q14+Q29</f>
        <v>0</v>
      </c>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3"/>
      <c r="AR13" s="344"/>
      <c r="AS13" s="343"/>
      <c r="AT13" s="343"/>
      <c r="AU13" s="343"/>
      <c r="AV13" s="343"/>
    </row>
    <row r="14" spans="1:53" s="340" customFormat="1" ht="18.75" customHeight="1">
      <c r="A14" s="336" t="s">
        <v>9</v>
      </c>
      <c r="B14" s="327" t="s">
        <v>31</v>
      </c>
      <c r="C14" s="339"/>
      <c r="D14" s="358">
        <f>D15+D17+D20</f>
        <v>270961405</v>
      </c>
      <c r="E14" s="358">
        <f t="shared" ref="E14:L14" si="1">E15+E17+E20</f>
        <v>59502337</v>
      </c>
      <c r="F14" s="358">
        <f t="shared" si="1"/>
        <v>152079000</v>
      </c>
      <c r="G14" s="358">
        <f t="shared" si="1"/>
        <v>110207176</v>
      </c>
      <c r="H14" s="358">
        <f t="shared" si="1"/>
        <v>74305176</v>
      </c>
      <c r="I14" s="358">
        <f t="shared" si="1"/>
        <v>35902000</v>
      </c>
      <c r="J14" s="358">
        <f t="shared" si="1"/>
        <v>9013270</v>
      </c>
      <c r="K14" s="358">
        <f t="shared" si="1"/>
        <v>2014421</v>
      </c>
      <c r="L14" s="358">
        <f t="shared" si="1"/>
        <v>6998849</v>
      </c>
      <c r="M14" s="359">
        <f>J14/G14*100</f>
        <v>8.1784783234079068</v>
      </c>
      <c r="N14" s="366">
        <f>N15+N17+N20</f>
        <v>9544011.9499999993</v>
      </c>
      <c r="O14" s="467">
        <f>O15+O17+O20</f>
        <v>0</v>
      </c>
      <c r="P14" s="467">
        <f>P15+P17+P20</f>
        <v>0</v>
      </c>
      <c r="Q14" s="467">
        <f>Q15+Q17+Q20</f>
        <v>0</v>
      </c>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54"/>
      <c r="AR14" s="339"/>
      <c r="AS14" s="354"/>
      <c r="AT14" s="354"/>
      <c r="AU14" s="354"/>
      <c r="AV14" s="354"/>
    </row>
    <row r="15" spans="1:53" s="340" customFormat="1" ht="54.75" customHeight="1">
      <c r="A15" s="328" t="s">
        <v>37</v>
      </c>
      <c r="B15" s="329" t="s">
        <v>248</v>
      </c>
      <c r="C15" s="339"/>
      <c r="D15" s="358">
        <f>D16</f>
        <v>79617313</v>
      </c>
      <c r="E15" s="358">
        <f t="shared" ref="E15:L15" si="2">E16</f>
        <v>0</v>
      </c>
      <c r="F15" s="358">
        <f t="shared" si="2"/>
        <v>30000000</v>
      </c>
      <c r="G15" s="358">
        <f t="shared" si="2"/>
        <v>50000000</v>
      </c>
      <c r="H15" s="358">
        <f t="shared" si="2"/>
        <v>30000000</v>
      </c>
      <c r="I15" s="358">
        <f t="shared" si="2"/>
        <v>20000000</v>
      </c>
      <c r="J15" s="358">
        <f t="shared" si="2"/>
        <v>1398471</v>
      </c>
      <c r="K15" s="358">
        <f t="shared" si="2"/>
        <v>1398471</v>
      </c>
      <c r="L15" s="358">
        <f t="shared" si="2"/>
        <v>0</v>
      </c>
      <c r="M15" s="359">
        <f>J15/G15*100</f>
        <v>2.796942</v>
      </c>
      <c r="N15" s="366">
        <f>N16</f>
        <v>0</v>
      </c>
      <c r="O15" s="467">
        <f>O16</f>
        <v>0</v>
      </c>
      <c r="P15" s="467">
        <f>P16</f>
        <v>0</v>
      </c>
      <c r="Q15" s="467">
        <f>Q16</f>
        <v>0</v>
      </c>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54"/>
      <c r="AR15" s="339"/>
      <c r="AS15" s="354"/>
      <c r="AT15" s="354"/>
      <c r="AU15" s="354"/>
      <c r="AV15" s="354"/>
    </row>
    <row r="16" spans="1:53" s="346" customFormat="1" ht="153" customHeight="1">
      <c r="A16" s="8">
        <v>1</v>
      </c>
      <c r="B16" s="9" t="s">
        <v>119</v>
      </c>
      <c r="C16" s="15" t="s">
        <v>419</v>
      </c>
      <c r="D16" s="12">
        <f>'BC UBND Huyện 15 hàng tháng'!E12</f>
        <v>79617313</v>
      </c>
      <c r="E16" s="348"/>
      <c r="F16" s="348">
        <v>30000000</v>
      </c>
      <c r="G16" s="351">
        <f>SUM(H16:I16)</f>
        <v>50000000</v>
      </c>
      <c r="H16" s="348">
        <f>'BC UBND Huyện 15 hàng tháng'!S12</f>
        <v>30000000</v>
      </c>
      <c r="I16" s="348">
        <f>'BC UBND Huyện 15 hàng tháng'!R12</f>
        <v>20000000</v>
      </c>
      <c r="J16" s="348">
        <f>SUM(K16:L16)</f>
        <v>1398471</v>
      </c>
      <c r="K16" s="348">
        <f>'BC UBND Huyện 15 hàng tháng'!U12</f>
        <v>1398471</v>
      </c>
      <c r="L16" s="348"/>
      <c r="M16" s="347">
        <f>J16/G16*100</f>
        <v>2.796942</v>
      </c>
      <c r="N16" s="348">
        <f>AV16*D16/100</f>
        <v>0</v>
      </c>
      <c r="O16" s="468">
        <f>SUM(P16:Q16)</f>
        <v>0</v>
      </c>
      <c r="P16" s="468"/>
      <c r="Q16" s="468"/>
      <c r="R16" s="345"/>
      <c r="S16" s="345"/>
      <c r="T16" s="345"/>
      <c r="U16" s="345"/>
      <c r="V16" s="345"/>
      <c r="W16" s="345"/>
      <c r="X16" s="345"/>
      <c r="Y16" s="345"/>
      <c r="Z16" s="345"/>
      <c r="AA16" s="345"/>
      <c r="AB16" s="345"/>
      <c r="AC16" s="345"/>
      <c r="AD16" s="345"/>
      <c r="AE16" s="345"/>
      <c r="AF16" s="15" t="s">
        <v>71</v>
      </c>
      <c r="AG16" s="345"/>
      <c r="AH16" s="345"/>
      <c r="AI16" s="345"/>
      <c r="AJ16" s="357" t="s">
        <v>71</v>
      </c>
      <c r="AK16" s="345"/>
      <c r="AL16" s="345"/>
      <c r="AM16" s="345"/>
      <c r="AN16" s="345"/>
      <c r="AO16" s="345"/>
      <c r="AP16" s="345"/>
      <c r="AQ16" s="355">
        <f>'BC UBND Huyện 15 hàng tháng'!N12</f>
        <v>0</v>
      </c>
      <c r="AR16" s="13" t="str">
        <f>'BC UBND Huyện 15 hàng tháng'!X12</f>
        <v>Trình Tỉnh thẩm định KHLCNT ngày 01/07/2021; Đền bù: đã ủy quyền thu hồi đất cho Huyện</v>
      </c>
      <c r="AS16" s="15"/>
      <c r="AT16" s="15"/>
      <c r="AU16" s="15"/>
      <c r="AV16" s="15">
        <f>'BC UBND Huyện 15 hàng tháng'!P12</f>
        <v>0</v>
      </c>
    </row>
    <row r="17" spans="1:48" s="340" customFormat="1" ht="34.5" customHeight="1">
      <c r="A17" s="328" t="s">
        <v>38</v>
      </c>
      <c r="B17" s="329" t="s">
        <v>249</v>
      </c>
      <c r="C17" s="339"/>
      <c r="D17" s="358">
        <f>SUM(D18:D19)</f>
        <v>16202753</v>
      </c>
      <c r="E17" s="358">
        <f t="shared" ref="E17:L17" si="3">SUM(E18:E19)</f>
        <v>9349953</v>
      </c>
      <c r="F17" s="358">
        <f t="shared" si="3"/>
        <v>10000000</v>
      </c>
      <c r="G17" s="358">
        <f t="shared" si="3"/>
        <v>4450462</v>
      </c>
      <c r="H17" s="358">
        <f t="shared" si="3"/>
        <v>403462</v>
      </c>
      <c r="I17" s="358">
        <f t="shared" si="3"/>
        <v>4047000</v>
      </c>
      <c r="J17" s="358">
        <f t="shared" si="3"/>
        <v>2174654</v>
      </c>
      <c r="K17" s="358">
        <f t="shared" si="3"/>
        <v>0</v>
      </c>
      <c r="L17" s="358">
        <f t="shared" si="3"/>
        <v>2174654</v>
      </c>
      <c r="M17" s="359">
        <f>J17/G17*100</f>
        <v>48.863556188099125</v>
      </c>
      <c r="N17" s="366">
        <f>SUM(N18:N19)</f>
        <v>2752454.3499999996</v>
      </c>
      <c r="O17" s="467">
        <f>SUM(O18:O19)</f>
        <v>0</v>
      </c>
      <c r="P17" s="467">
        <f>SUM(P18:P19)</f>
        <v>0</v>
      </c>
      <c r="Q17" s="467">
        <f>SUM(Q18:Q19)</f>
        <v>0</v>
      </c>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54"/>
      <c r="AR17" s="339"/>
      <c r="AS17" s="354"/>
      <c r="AT17" s="354"/>
      <c r="AU17" s="354"/>
      <c r="AV17" s="354"/>
    </row>
    <row r="18" spans="1:48" s="322" customFormat="1" ht="94.5" customHeight="1">
      <c r="A18" s="8">
        <v>2</v>
      </c>
      <c r="B18" s="9" t="s">
        <v>20</v>
      </c>
      <c r="C18" s="15" t="s">
        <v>420</v>
      </c>
      <c r="D18" s="12">
        <f>'BC UBND Huyện 15 hàng tháng'!E14</f>
        <v>7323868</v>
      </c>
      <c r="E18" s="348">
        <v>4349953</v>
      </c>
      <c r="F18" s="348">
        <v>5000000</v>
      </c>
      <c r="G18" s="351">
        <f>SUM(H18:I18)</f>
        <v>1950462</v>
      </c>
      <c r="H18" s="348">
        <f>'BC UBND Huyện 15 hàng tháng'!S14</f>
        <v>403462</v>
      </c>
      <c r="I18" s="348">
        <f>'BC UBND Huyện 15 hàng tháng'!R14</f>
        <v>1547000</v>
      </c>
      <c r="J18" s="348">
        <f t="shared" ref="J18:J28" si="4">SUM(K18:L18)</f>
        <v>0</v>
      </c>
      <c r="K18" s="349"/>
      <c r="L18" s="348">
        <f>'BC UBND Huyện 15 hàng tháng'!U14</f>
        <v>0</v>
      </c>
      <c r="M18" s="347">
        <f t="shared" ref="M18:M30" si="5">J18/G18*100</f>
        <v>0</v>
      </c>
      <c r="N18" s="348">
        <f>AV18*D18/100-66%*D18</f>
        <v>0</v>
      </c>
      <c r="O18" s="468">
        <f>SUM(P18:Q18)</f>
        <v>0</v>
      </c>
      <c r="P18" s="468"/>
      <c r="Q18" s="468"/>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55" t="str">
        <f>'BC UBND Huyện 15 hàng tháng'!N14</f>
        <v>26/12/2018 - 26/08/2019; PKGH 29/05/2020</v>
      </c>
      <c r="AR18" s="13" t="str">
        <f>'BC UBND Huyện 15 hàng tháng'!X14</f>
        <v>Đang lập thủ tục chấm dứt hợp đồng</v>
      </c>
      <c r="AS18" s="15" t="s">
        <v>439</v>
      </c>
      <c r="AT18" s="15" t="s">
        <v>440</v>
      </c>
      <c r="AU18" s="15" t="s">
        <v>441</v>
      </c>
      <c r="AV18" s="15">
        <f>'BC UBND Huyện 15 hàng tháng'!P14</f>
        <v>66</v>
      </c>
    </row>
    <row r="19" spans="1:48" s="322" customFormat="1" ht="94.5" customHeight="1">
      <c r="A19" s="8">
        <v>3</v>
      </c>
      <c r="B19" s="9" t="s">
        <v>100</v>
      </c>
      <c r="C19" s="15" t="s">
        <v>420</v>
      </c>
      <c r="D19" s="12">
        <f>'BC UBND Huyện 15 hàng tháng'!E15</f>
        <v>8878885</v>
      </c>
      <c r="E19" s="348">
        <v>5000000</v>
      </c>
      <c r="F19" s="348">
        <v>5000000</v>
      </c>
      <c r="G19" s="351">
        <f>SUM(H19:I19)</f>
        <v>2500000</v>
      </c>
      <c r="H19" s="348">
        <f>'BC UBND Huyện 15 hàng tháng'!S15</f>
        <v>0</v>
      </c>
      <c r="I19" s="348">
        <f>'BC UBND Huyện 15 hàng tháng'!R15</f>
        <v>2500000</v>
      </c>
      <c r="J19" s="348">
        <f t="shared" si="4"/>
        <v>2174654</v>
      </c>
      <c r="K19" s="349"/>
      <c r="L19" s="348">
        <f>'BC UBND Huyện 15 hàng tháng'!U15</f>
        <v>2174654</v>
      </c>
      <c r="M19" s="347">
        <f t="shared" si="5"/>
        <v>86.986159999999998</v>
      </c>
      <c r="N19" s="348">
        <f>AV19*D19/100-68%*D19</f>
        <v>2752454.3499999996</v>
      </c>
      <c r="O19" s="468">
        <f>SUM(P19:Q19)</f>
        <v>0</v>
      </c>
      <c r="P19" s="469"/>
      <c r="Q19" s="469"/>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55" t="str">
        <f>'BC UBND Huyện 15 hàng tháng'!N15</f>
        <v>Số 03/2020/HĐ-XD ngày 27/02/2020;  KC-HT: '06/03/2020-31/12/2020</v>
      </c>
      <c r="AR19" s="13" t="str">
        <f>'BC UBND Huyện 15 hàng tháng'!X15</f>
        <v>Chờ nghiệm thu PCCC</v>
      </c>
      <c r="AS19" s="13" t="s">
        <v>569</v>
      </c>
      <c r="AT19" s="357"/>
      <c r="AU19" s="357"/>
      <c r="AV19" s="15">
        <f>'BC UBND Huyện 15 hàng tháng'!P15</f>
        <v>99</v>
      </c>
    </row>
    <row r="20" spans="1:48" s="340" customFormat="1" ht="23.25" customHeight="1">
      <c r="A20" s="328" t="s">
        <v>108</v>
      </c>
      <c r="B20" s="329" t="s">
        <v>250</v>
      </c>
      <c r="C20" s="339"/>
      <c r="D20" s="358">
        <f>SUM(D21:D28)</f>
        <v>175141339</v>
      </c>
      <c r="E20" s="358">
        <f t="shared" ref="E20:L20" si="6">SUM(E21:E28)</f>
        <v>50152384</v>
      </c>
      <c r="F20" s="358">
        <f t="shared" si="6"/>
        <v>112079000</v>
      </c>
      <c r="G20" s="358">
        <f t="shared" si="6"/>
        <v>55756714</v>
      </c>
      <c r="H20" s="358">
        <f t="shared" si="6"/>
        <v>43901714</v>
      </c>
      <c r="I20" s="358">
        <f t="shared" si="6"/>
        <v>11855000</v>
      </c>
      <c r="J20" s="358">
        <f t="shared" si="6"/>
        <v>5440145</v>
      </c>
      <c r="K20" s="358">
        <f t="shared" si="6"/>
        <v>615950</v>
      </c>
      <c r="L20" s="358">
        <f t="shared" si="6"/>
        <v>4824195</v>
      </c>
      <c r="M20" s="359">
        <f>J20/G20*100</f>
        <v>9.7569325911136016</v>
      </c>
      <c r="N20" s="366">
        <f>SUM(N21:N28)</f>
        <v>6791557.5999999996</v>
      </c>
      <c r="O20" s="467">
        <f>SUM(O21:O28)</f>
        <v>0</v>
      </c>
      <c r="P20" s="467">
        <f>SUM(P21:P28)</f>
        <v>0</v>
      </c>
      <c r="Q20" s="467">
        <f>SUM(Q21:Q28)</f>
        <v>0</v>
      </c>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54"/>
      <c r="AR20" s="339"/>
      <c r="AS20" s="354"/>
      <c r="AT20" s="354"/>
      <c r="AU20" s="354"/>
      <c r="AV20" s="354"/>
    </row>
    <row r="21" spans="1:48" s="322" customFormat="1" ht="94.5" customHeight="1">
      <c r="A21" s="8">
        <v>4</v>
      </c>
      <c r="B21" s="9" t="s">
        <v>21</v>
      </c>
      <c r="C21" s="15" t="s">
        <v>136</v>
      </c>
      <c r="D21" s="12">
        <f>'BC UBND Huyện 15 hàng tháng'!E17</f>
        <v>14385993</v>
      </c>
      <c r="E21" s="348">
        <v>4134758</v>
      </c>
      <c r="F21" s="348">
        <v>12419000</v>
      </c>
      <c r="G21" s="351">
        <f t="shared" ref="G21:G28" si="7">SUM(H21:I21)</f>
        <v>2457315</v>
      </c>
      <c r="H21" s="348">
        <f>'BC UBND Huyện 15 hàng tháng'!S17</f>
        <v>2457315</v>
      </c>
      <c r="I21" s="348">
        <f>'BC UBND Huyện 15 hàng tháng'!R17</f>
        <v>0</v>
      </c>
      <c r="J21" s="348">
        <f t="shared" si="4"/>
        <v>0</v>
      </c>
      <c r="K21" s="349"/>
      <c r="L21" s="348">
        <f>'BC UBND Huyện 15 hàng tháng'!U17</f>
        <v>0</v>
      </c>
      <c r="M21" s="347">
        <f t="shared" si="5"/>
        <v>0</v>
      </c>
      <c r="N21" s="348">
        <f>AV21*D21/100-78%*D21</f>
        <v>0</v>
      </c>
      <c r="O21" s="468">
        <f t="shared" ref="O21:O28" si="8">SUM(P21:Q21)</f>
        <v>0</v>
      </c>
      <c r="P21" s="469"/>
      <c r="Q21" s="469"/>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55" t="str">
        <f>'BC UBND Huyện 15 hàng tháng'!N17</f>
        <v>Số 40/2018/HĐ-XD ngày 10/08/2018; KC-HT: 17/08/2018-02/08/2019; PKGH 30/06/2021</v>
      </c>
      <c r="AR21" s="13" t="str">
        <f>'BC UBND Huyện 15 hàng tháng'!X17</f>
        <v>Ngưng thi công do không có mặt bằng</v>
      </c>
      <c r="AS21" s="357"/>
      <c r="AT21" s="357"/>
      <c r="AU21" s="15" t="s">
        <v>442</v>
      </c>
      <c r="AV21" s="15">
        <f>'BC UBND Huyện 15 hàng tháng'!P17</f>
        <v>78</v>
      </c>
    </row>
    <row r="22" spans="1:48" s="322" customFormat="1" ht="197.25" customHeight="1">
      <c r="A22" s="8">
        <v>5</v>
      </c>
      <c r="B22" s="9" t="s">
        <v>60</v>
      </c>
      <c r="C22" s="15" t="s">
        <v>136</v>
      </c>
      <c r="D22" s="12">
        <f>'BC UBND Huyện 15 hàng tháng'!E18</f>
        <v>48780252</v>
      </c>
      <c r="E22" s="348">
        <v>15906202</v>
      </c>
      <c r="F22" s="348">
        <v>30660000</v>
      </c>
      <c r="G22" s="351">
        <f t="shared" si="7"/>
        <v>12860000</v>
      </c>
      <c r="H22" s="348">
        <f>'BC UBND Huyện 15 hàng tháng'!S18</f>
        <v>12860000</v>
      </c>
      <c r="I22" s="348">
        <f>'BC UBND Huyện 15 hàng tháng'!R18</f>
        <v>0</v>
      </c>
      <c r="J22" s="348">
        <f t="shared" si="4"/>
        <v>0</v>
      </c>
      <c r="K22" s="349"/>
      <c r="L22" s="348">
        <f>'BC UBND Huyện 15 hàng tháng'!U18</f>
        <v>0</v>
      </c>
      <c r="M22" s="347">
        <f t="shared" si="5"/>
        <v>0</v>
      </c>
      <c r="N22" s="348">
        <f>AV22*D22/100-26%*D22</f>
        <v>0</v>
      </c>
      <c r="O22" s="468">
        <f t="shared" si="8"/>
        <v>0</v>
      </c>
      <c r="P22" s="469"/>
      <c r="Q22" s="469"/>
      <c r="R22" s="325"/>
      <c r="S22" s="325"/>
      <c r="T22" s="325"/>
      <c r="U22" s="325"/>
      <c r="V22" s="325"/>
      <c r="W22" s="325"/>
      <c r="X22" s="325"/>
      <c r="Y22" s="325"/>
      <c r="Z22" s="325"/>
      <c r="AA22" s="325"/>
      <c r="AB22" s="325"/>
      <c r="AC22" s="325"/>
      <c r="AD22" s="325"/>
      <c r="AE22" s="325"/>
      <c r="AF22" s="325"/>
      <c r="AG22" s="325"/>
      <c r="AH22" s="325"/>
      <c r="AI22" s="325"/>
      <c r="AJ22" s="325"/>
      <c r="AK22" s="325"/>
      <c r="AL22" s="325"/>
      <c r="AM22" s="325"/>
      <c r="AN22" s="325"/>
      <c r="AO22" s="325"/>
      <c r="AP22" s="325"/>
      <c r="AQ22" s="355" t="str">
        <f>'BC UBND Huyện 15 hàng tháng'!N18</f>
        <v>Số 45/2019/HĐ-XD ngày 27/06/2019; KC-HT: 04/07/2019-28/06/2020</v>
      </c>
      <c r="AR22" s="13" t="str">
        <f>'BC UBND Huyện 15 hàng tháng'!X18</f>
        <v>Đang thi công san lấp mặt bằng và rải đá lớp 1</v>
      </c>
      <c r="AS22" s="15" t="s">
        <v>439</v>
      </c>
      <c r="AT22" s="15" t="s">
        <v>443</v>
      </c>
      <c r="AU22" s="15" t="s">
        <v>444</v>
      </c>
      <c r="AV22" s="15">
        <f>'BC UBND Huyện 15 hàng tháng'!P18</f>
        <v>26</v>
      </c>
    </row>
    <row r="23" spans="1:48" s="322" customFormat="1" ht="127.5" customHeight="1">
      <c r="A23" s="8">
        <v>6</v>
      </c>
      <c r="B23" s="9" t="s">
        <v>63</v>
      </c>
      <c r="C23" s="15" t="s">
        <v>136</v>
      </c>
      <c r="D23" s="12">
        <f>'BC UBND Huyện 15 hàng tháng'!E19</f>
        <v>12122091</v>
      </c>
      <c r="E23" s="348">
        <v>9320000</v>
      </c>
      <c r="F23" s="348">
        <v>9800000</v>
      </c>
      <c r="G23" s="351">
        <f t="shared" si="7"/>
        <v>990000</v>
      </c>
      <c r="H23" s="348">
        <f>'BC UBND Huyện 15 hàng tháng'!S19</f>
        <v>0</v>
      </c>
      <c r="I23" s="348">
        <f>'BC UBND Huyện 15 hàng tháng'!R19</f>
        <v>990000</v>
      </c>
      <c r="J23" s="348">
        <f t="shared" si="4"/>
        <v>880555</v>
      </c>
      <c r="K23" s="349"/>
      <c r="L23" s="348">
        <f>'BC UBND Huyện 15 hàng tháng'!U19</f>
        <v>880555</v>
      </c>
      <c r="M23" s="347">
        <f t="shared" si="5"/>
        <v>88.944949494949498</v>
      </c>
      <c r="N23" s="348">
        <f>AV23*D23/100-93%*D23</f>
        <v>0</v>
      </c>
      <c r="O23" s="468">
        <f t="shared" si="8"/>
        <v>0</v>
      </c>
      <c r="P23" s="469"/>
      <c r="Q23" s="469"/>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325"/>
      <c r="AQ23" s="355" t="str">
        <f>'BC UBND Huyện 15 hàng tháng'!N19</f>
        <v>Số 70/2018/HĐ-XD ngày 27/12/2018; KC-HT: 28/12/2018-23/12/2019; PKGH: 30/07/2020</v>
      </c>
      <c r="AR23" s="13" t="str">
        <f>'BC UBND Huyện 15 hàng tháng'!X19</f>
        <v>Bàn giao 6 phòng học; Còn lại điểm Gò Thầy Tám đang xin chủ trương cắt giảm do không có mặt bằng</v>
      </c>
      <c r="AS23" s="357"/>
      <c r="AT23" s="15" t="s">
        <v>445</v>
      </c>
      <c r="AU23" s="15" t="s">
        <v>446</v>
      </c>
      <c r="AV23" s="15">
        <f>'BC UBND Huyện 15 hàng tháng'!P19</f>
        <v>93</v>
      </c>
    </row>
    <row r="24" spans="1:48" s="322" customFormat="1" ht="94.5" customHeight="1">
      <c r="A24" s="8">
        <v>7</v>
      </c>
      <c r="B24" s="9" t="s">
        <v>109</v>
      </c>
      <c r="C24" s="15" t="s">
        <v>136</v>
      </c>
      <c r="D24" s="12">
        <f>'BC UBND Huyện 15 hàng tháng'!E20</f>
        <v>9927352</v>
      </c>
      <c r="E24" s="348">
        <v>5445486</v>
      </c>
      <c r="F24" s="348">
        <v>9000000</v>
      </c>
      <c r="G24" s="351">
        <f t="shared" si="7"/>
        <v>3630514</v>
      </c>
      <c r="H24" s="348">
        <f>'BC UBND Huyện 15 hàng tháng'!S20</f>
        <v>54514</v>
      </c>
      <c r="I24" s="348">
        <f>'BC UBND Huyện 15 hàng tháng'!R20</f>
        <v>3576000</v>
      </c>
      <c r="J24" s="348">
        <f t="shared" si="4"/>
        <v>2406214</v>
      </c>
      <c r="K24" s="348">
        <v>54514</v>
      </c>
      <c r="L24" s="348">
        <f>'BC UBND Huyện 15 hàng tháng'!U20-54514</f>
        <v>2351700</v>
      </c>
      <c r="M24" s="347">
        <f t="shared" si="5"/>
        <v>66.277502304081466</v>
      </c>
      <c r="N24" s="348">
        <f>AV24*D24/100-75%*D24</f>
        <v>2481838</v>
      </c>
      <c r="O24" s="468">
        <f t="shared" si="8"/>
        <v>0</v>
      </c>
      <c r="P24" s="469"/>
      <c r="Q24" s="469"/>
      <c r="R24" s="325"/>
      <c r="S24" s="325"/>
      <c r="T24" s="325"/>
      <c r="U24" s="325"/>
      <c r="V24" s="325"/>
      <c r="W24" s="325"/>
      <c r="X24" s="325"/>
      <c r="Y24" s="325"/>
      <c r="Z24" s="325"/>
      <c r="AA24" s="325"/>
      <c r="AB24" s="325"/>
      <c r="AC24" s="325"/>
      <c r="AD24" s="325"/>
      <c r="AE24" s="325"/>
      <c r="AF24" s="325"/>
      <c r="AG24" s="325"/>
      <c r="AH24" s="325"/>
      <c r="AI24" s="325"/>
      <c r="AJ24" s="325"/>
      <c r="AK24" s="325"/>
      <c r="AL24" s="325"/>
      <c r="AM24" s="325"/>
      <c r="AN24" s="325"/>
      <c r="AO24" s="325"/>
      <c r="AP24" s="325"/>
      <c r="AQ24" s="355" t="str">
        <f>'BC UBND Huyện 15 hàng tháng'!N20</f>
        <v>Số 41/2020/HĐ-XD ngày 30/06/2020;  KC-HT: '07/07/2020-02/07/2021</v>
      </c>
      <c r="AR24" s="13" t="str">
        <f>'BC UBND Huyện 15 hàng tháng'!X20</f>
        <v>Hoàn thành</v>
      </c>
      <c r="AS24" s="15"/>
      <c r="AT24" s="357"/>
      <c r="AU24" s="357"/>
      <c r="AV24" s="15">
        <f>'BC UBND Huyện 15 hàng tháng'!P20</f>
        <v>100</v>
      </c>
    </row>
    <row r="25" spans="1:48" s="322" customFormat="1" ht="94.5" customHeight="1">
      <c r="A25" s="8">
        <v>8</v>
      </c>
      <c r="B25" s="9" t="s">
        <v>110</v>
      </c>
      <c r="C25" s="15" t="s">
        <v>136</v>
      </c>
      <c r="D25" s="12">
        <f>'BC UBND Huyện 15 hàng tháng'!E21</f>
        <v>11446343</v>
      </c>
      <c r="E25" s="348">
        <v>7951693</v>
      </c>
      <c r="F25" s="348">
        <v>9600000</v>
      </c>
      <c r="G25" s="351">
        <f t="shared" si="7"/>
        <v>1677307</v>
      </c>
      <c r="H25" s="348">
        <f>'BC UBND Huyện 15 hàng tháng'!S21</f>
        <v>48307</v>
      </c>
      <c r="I25" s="348">
        <f>'BC UBND Huyện 15 hàng tháng'!R21</f>
        <v>1629000</v>
      </c>
      <c r="J25" s="348">
        <f t="shared" si="4"/>
        <v>1611498</v>
      </c>
      <c r="K25" s="348">
        <v>48307</v>
      </c>
      <c r="L25" s="348">
        <f>'BC UBND Huyện 15 hàng tháng'!U21-48307</f>
        <v>1563191</v>
      </c>
      <c r="M25" s="347">
        <f t="shared" si="5"/>
        <v>96.076508355357731</v>
      </c>
      <c r="N25" s="348">
        <f>AV25*D25/100-75%*D25</f>
        <v>2861585.75</v>
      </c>
      <c r="O25" s="468">
        <f t="shared" si="8"/>
        <v>0</v>
      </c>
      <c r="P25" s="469"/>
      <c r="Q25" s="469"/>
      <c r="R25" s="325"/>
      <c r="S25" s="325"/>
      <c r="T25" s="325"/>
      <c r="U25" s="325"/>
      <c r="V25" s="325"/>
      <c r="W25" s="325"/>
      <c r="X25" s="325"/>
      <c r="Y25" s="325"/>
      <c r="Z25" s="325"/>
      <c r="AA25" s="325"/>
      <c r="AB25" s="325"/>
      <c r="AC25" s="325"/>
      <c r="AD25" s="325"/>
      <c r="AE25" s="325"/>
      <c r="AF25" s="325"/>
      <c r="AG25" s="325"/>
      <c r="AH25" s="325"/>
      <c r="AI25" s="325"/>
      <c r="AJ25" s="325"/>
      <c r="AK25" s="325"/>
      <c r="AL25" s="325"/>
      <c r="AM25" s="325"/>
      <c r="AN25" s="325"/>
      <c r="AO25" s="325"/>
      <c r="AP25" s="325"/>
      <c r="AQ25" s="355" t="str">
        <f>'BC UBND Huyện 15 hàng tháng'!N21</f>
        <v>Số 23/2020/HĐ-XD ngày 16/04/2020;  KC-HT: '23/04/2020-18/04/2021</v>
      </c>
      <c r="AR25" s="13" t="str">
        <f>'BC UBND Huyện 15 hàng tháng'!X21</f>
        <v>Hoàn thành</v>
      </c>
      <c r="AS25" s="15"/>
      <c r="AT25" s="357"/>
      <c r="AU25" s="357"/>
      <c r="AV25" s="15">
        <f>'BC UBND Huyện 15 hàng tháng'!P21</f>
        <v>100</v>
      </c>
    </row>
    <row r="26" spans="1:48" s="322" customFormat="1" ht="94.5" customHeight="1">
      <c r="A26" s="8">
        <v>9</v>
      </c>
      <c r="B26" s="9" t="s">
        <v>111</v>
      </c>
      <c r="C26" s="15" t="s">
        <v>136</v>
      </c>
      <c r="D26" s="12">
        <f>'BC UBND Huyện 15 hàng tháng'!E22</f>
        <v>13908842</v>
      </c>
      <c r="E26" s="348">
        <v>5821453</v>
      </c>
      <c r="F26" s="348">
        <v>12600000</v>
      </c>
      <c r="G26" s="351">
        <f t="shared" si="7"/>
        <v>6833547</v>
      </c>
      <c r="H26" s="348">
        <f>'BC UBND Huyện 15 hàng tháng'!S22</f>
        <v>1478547</v>
      </c>
      <c r="I26" s="348">
        <f>'BC UBND Huyện 15 hàng tháng'!R22</f>
        <v>5355000</v>
      </c>
      <c r="J26" s="348">
        <f t="shared" si="4"/>
        <v>28749</v>
      </c>
      <c r="K26" s="349"/>
      <c r="L26" s="348">
        <f>'BC UBND Huyện 15 hàng tháng'!U22</f>
        <v>28749</v>
      </c>
      <c r="M26" s="347">
        <f t="shared" si="5"/>
        <v>0.4207039184774759</v>
      </c>
      <c r="N26" s="348">
        <f>AV26*D26/100-34%*D26</f>
        <v>0</v>
      </c>
      <c r="O26" s="468">
        <f t="shared" si="8"/>
        <v>0</v>
      </c>
      <c r="P26" s="469"/>
      <c r="Q26" s="469"/>
      <c r="R26" s="325"/>
      <c r="S26" s="325"/>
      <c r="T26" s="325"/>
      <c r="U26" s="325"/>
      <c r="V26" s="325"/>
      <c r="W26" s="325"/>
      <c r="X26" s="325"/>
      <c r="Y26" s="325"/>
      <c r="Z26" s="325"/>
      <c r="AA26" s="325"/>
      <c r="AB26" s="325"/>
      <c r="AC26" s="325"/>
      <c r="AD26" s="325"/>
      <c r="AE26" s="325"/>
      <c r="AF26" s="325"/>
      <c r="AG26" s="325"/>
      <c r="AH26" s="325"/>
      <c r="AI26" s="325"/>
      <c r="AJ26" s="325"/>
      <c r="AK26" s="325"/>
      <c r="AL26" s="325"/>
      <c r="AM26" s="325"/>
      <c r="AN26" s="325"/>
      <c r="AO26" s="325"/>
      <c r="AP26" s="325"/>
      <c r="AQ26" s="355" t="str">
        <f>'BC UBND Huyện 15 hàng tháng'!N22</f>
        <v>Số 31/2020/HĐ-XD ngày 07/05/2020;  KC-HT: '14/05/2020-09/05/2021</v>
      </c>
      <c r="AR26" s="13" t="str">
        <f>'BC UBND Huyện 15 hàng tháng'!X22</f>
        <v>Đang lập phương án tháo dỡ BT sàn lầu 1</v>
      </c>
      <c r="AS26" s="15" t="s">
        <v>447</v>
      </c>
      <c r="AT26" s="15" t="s">
        <v>448</v>
      </c>
      <c r="AU26" s="357"/>
      <c r="AV26" s="15">
        <f>'BC UBND Huyện 15 hàng tháng'!P22</f>
        <v>34</v>
      </c>
    </row>
    <row r="27" spans="1:48" s="322" customFormat="1" ht="94.5" customHeight="1">
      <c r="A27" s="8">
        <v>10</v>
      </c>
      <c r="B27" s="9" t="s">
        <v>116</v>
      </c>
      <c r="C27" s="15" t="s">
        <v>136</v>
      </c>
      <c r="D27" s="12">
        <f>'BC UBND Huyện 15 hàng tháng'!E23</f>
        <v>4993565</v>
      </c>
      <c r="E27" s="348">
        <v>1225321</v>
      </c>
      <c r="F27" s="348">
        <v>3000000</v>
      </c>
      <c r="G27" s="351">
        <f t="shared" si="7"/>
        <v>2308031</v>
      </c>
      <c r="H27" s="348">
        <f>'BC UBND Huyện 15 hàng tháng'!S23</f>
        <v>2003031</v>
      </c>
      <c r="I27" s="348">
        <f>'BC UBND Huyện 15 hàng tháng'!R23</f>
        <v>305000</v>
      </c>
      <c r="J27" s="348">
        <f t="shared" si="4"/>
        <v>513129</v>
      </c>
      <c r="K27" s="348">
        <f>'BC UBND Huyện 15 hàng tháng'!U23</f>
        <v>513129</v>
      </c>
      <c r="L27" s="348"/>
      <c r="M27" s="347">
        <f t="shared" si="5"/>
        <v>22.23232703546876</v>
      </c>
      <c r="N27" s="348">
        <f>AV27*D27/100-10%*D27</f>
        <v>1448133.85</v>
      </c>
      <c r="O27" s="468">
        <f t="shared" si="8"/>
        <v>0</v>
      </c>
      <c r="P27" s="469"/>
      <c r="Q27" s="469"/>
      <c r="R27" s="325"/>
      <c r="S27" s="325"/>
      <c r="T27" s="325"/>
      <c r="U27" s="325"/>
      <c r="V27" s="325"/>
      <c r="W27" s="325"/>
      <c r="X27" s="325"/>
      <c r="Y27" s="325"/>
      <c r="Z27" s="325"/>
      <c r="AA27" s="325"/>
      <c r="AB27" s="325"/>
      <c r="AC27" s="325"/>
      <c r="AD27" s="325"/>
      <c r="AE27" s="325"/>
      <c r="AF27" s="325"/>
      <c r="AG27" s="325"/>
      <c r="AH27" s="325"/>
      <c r="AI27" s="325"/>
      <c r="AJ27" s="325"/>
      <c r="AK27" s="325"/>
      <c r="AL27" s="325"/>
      <c r="AM27" s="325"/>
      <c r="AN27" s="325"/>
      <c r="AO27" s="325"/>
      <c r="AP27" s="325"/>
      <c r="AQ27" s="355" t="str">
        <f>'BC UBND Huyện 15 hàng tháng'!N23</f>
        <v>Số 62/2020/HĐ-XD ngày 07/12/2020;  KC-HT: '14/12/2020-10/10/2021</v>
      </c>
      <c r="AR27" s="13" t="str">
        <f>'BC UBND Huyện 15 hàng tháng'!X23</f>
        <v>Đang lắp dựng cốt thép đà kiềng</v>
      </c>
      <c r="AS27" s="15" t="s">
        <v>568</v>
      </c>
      <c r="AT27" s="357"/>
      <c r="AU27" s="357"/>
      <c r="AV27" s="15">
        <f>'BC UBND Huyện 15 hàng tháng'!P23</f>
        <v>39</v>
      </c>
    </row>
    <row r="28" spans="1:48" s="322" customFormat="1" ht="102.75" customHeight="1">
      <c r="A28" s="8">
        <v>11</v>
      </c>
      <c r="B28" s="9" t="s">
        <v>126</v>
      </c>
      <c r="C28" s="15" t="s">
        <v>136</v>
      </c>
      <c r="D28" s="12">
        <f>'BC UBND Huyện 15 hàng tháng'!E24</f>
        <v>59576901</v>
      </c>
      <c r="E28" s="348">
        <v>347471</v>
      </c>
      <c r="F28" s="348">
        <v>25000000</v>
      </c>
      <c r="G28" s="351">
        <f t="shared" si="7"/>
        <v>25000000</v>
      </c>
      <c r="H28" s="348">
        <f>'BC UBND Huyện 15 hàng tháng'!S24</f>
        <v>25000000</v>
      </c>
      <c r="I28" s="348">
        <f>'BC UBND Huyện 15 hàng tháng'!R24</f>
        <v>0</v>
      </c>
      <c r="J28" s="348">
        <f t="shared" si="4"/>
        <v>0</v>
      </c>
      <c r="K28" s="349"/>
      <c r="L28" s="348">
        <f>'BC UBND Huyện 15 hàng tháng'!U24</f>
        <v>0</v>
      </c>
      <c r="M28" s="347">
        <f t="shared" si="5"/>
        <v>0</v>
      </c>
      <c r="N28" s="348">
        <f>AV28*D28/100</f>
        <v>0</v>
      </c>
      <c r="O28" s="468">
        <f t="shared" si="8"/>
        <v>0</v>
      </c>
      <c r="P28" s="469"/>
      <c r="Q28" s="469"/>
      <c r="R28" s="325"/>
      <c r="S28" s="325"/>
      <c r="T28" s="325"/>
      <c r="U28" s="325"/>
      <c r="V28" s="325"/>
      <c r="W28" s="325"/>
      <c r="X28" s="325"/>
      <c r="Y28" s="325"/>
      <c r="Z28" s="325"/>
      <c r="AA28" s="325"/>
      <c r="AB28" s="325"/>
      <c r="AC28" s="325"/>
      <c r="AD28" s="325"/>
      <c r="AE28" s="325"/>
      <c r="AF28" s="325"/>
      <c r="AG28" s="325"/>
      <c r="AH28" s="325"/>
      <c r="AI28" s="325"/>
      <c r="AJ28" s="325"/>
      <c r="AK28" s="325"/>
      <c r="AL28" s="325"/>
      <c r="AM28" s="15"/>
      <c r="AN28" s="325"/>
      <c r="AO28" s="15" t="s">
        <v>71</v>
      </c>
      <c r="AP28" s="325"/>
      <c r="AQ28" s="355">
        <f>'BC UBND Huyện 15 hàng tháng'!N24</f>
        <v>0</v>
      </c>
      <c r="AR28" s="13" t="str">
        <f>'BC UBND Huyện 15 hàng tháng'!X24</f>
        <v>Đã thông báo mời thầu; ngày 21/07/2021 mở thầu</v>
      </c>
      <c r="AS28" s="357"/>
      <c r="AT28" s="357"/>
      <c r="AU28" s="357"/>
      <c r="AV28" s="15">
        <f>'BC UBND Huyện 15 hàng tháng'!P24</f>
        <v>0</v>
      </c>
    </row>
    <row r="29" spans="1:48" s="340" customFormat="1" ht="31.5" customHeight="1">
      <c r="A29" s="328" t="s">
        <v>10</v>
      </c>
      <c r="B29" s="329" t="s">
        <v>221</v>
      </c>
      <c r="C29" s="339"/>
      <c r="D29" s="358">
        <f>D30+D53+D56+D61</f>
        <v>51296451</v>
      </c>
      <c r="E29" s="358">
        <f>E30+E53+E56+E61</f>
        <v>0</v>
      </c>
      <c r="F29" s="358">
        <f t="shared" ref="F29:L29" si="9">F30+F53+F56+F61</f>
        <v>340742000</v>
      </c>
      <c r="G29" s="358">
        <f t="shared" si="9"/>
        <v>159667481</v>
      </c>
      <c r="H29" s="358">
        <f t="shared" si="9"/>
        <v>0</v>
      </c>
      <c r="I29" s="358">
        <f t="shared" si="9"/>
        <v>159667481</v>
      </c>
      <c r="J29" s="358">
        <f t="shared" si="9"/>
        <v>4873727</v>
      </c>
      <c r="K29" s="358">
        <f t="shared" si="9"/>
        <v>0</v>
      </c>
      <c r="L29" s="358">
        <f t="shared" si="9"/>
        <v>4873727</v>
      </c>
      <c r="M29" s="359">
        <f t="shared" si="5"/>
        <v>3.0524230541346111</v>
      </c>
      <c r="N29" s="358">
        <f>N30+N53+N56+N61</f>
        <v>6147040.5300000003</v>
      </c>
      <c r="O29" s="467">
        <f>O30+O53+O56+O61</f>
        <v>0</v>
      </c>
      <c r="P29" s="467">
        <f>P30+P53+P56+P61</f>
        <v>0</v>
      </c>
      <c r="Q29" s="467">
        <f>Q30+Q53+Q56+Q61</f>
        <v>0</v>
      </c>
      <c r="R29" s="339"/>
      <c r="S29" s="339"/>
      <c r="T29" s="339"/>
      <c r="U29" s="339"/>
      <c r="V29" s="339"/>
      <c r="W29" s="339"/>
      <c r="X29" s="339"/>
      <c r="Y29" s="339"/>
      <c r="Z29" s="339"/>
      <c r="AA29" s="339"/>
      <c r="AB29" s="339"/>
      <c r="AC29" s="339"/>
      <c r="AD29" s="339"/>
      <c r="AE29" s="339"/>
      <c r="AF29" s="339"/>
      <c r="AG29" s="339"/>
      <c r="AH29" s="339"/>
      <c r="AI29" s="339"/>
      <c r="AJ29" s="339"/>
      <c r="AK29" s="339"/>
      <c r="AL29" s="339"/>
      <c r="AM29" s="339"/>
      <c r="AN29" s="339"/>
      <c r="AO29" s="339"/>
      <c r="AP29" s="339"/>
      <c r="AQ29" s="354"/>
      <c r="AR29" s="339"/>
      <c r="AS29" s="354"/>
      <c r="AT29" s="354"/>
      <c r="AU29" s="354"/>
      <c r="AV29" s="354"/>
    </row>
    <row r="30" spans="1:48" s="340" customFormat="1" ht="21.75" customHeight="1">
      <c r="A30" s="328" t="s">
        <v>39</v>
      </c>
      <c r="B30" s="329" t="s">
        <v>250</v>
      </c>
      <c r="C30" s="339"/>
      <c r="D30" s="358">
        <f>SUM(D31:D52)</f>
        <v>33931726</v>
      </c>
      <c r="E30" s="358">
        <f t="shared" ref="E30:L30" si="10">SUM(E31:E52)</f>
        <v>0</v>
      </c>
      <c r="F30" s="358">
        <f t="shared" si="10"/>
        <v>340742000</v>
      </c>
      <c r="G30" s="358">
        <f t="shared" si="10"/>
        <v>147832000</v>
      </c>
      <c r="H30" s="358">
        <f t="shared" si="10"/>
        <v>0</v>
      </c>
      <c r="I30" s="358">
        <f t="shared" si="10"/>
        <v>147832000</v>
      </c>
      <c r="J30" s="358">
        <f t="shared" si="10"/>
        <v>256314</v>
      </c>
      <c r="K30" s="358">
        <f t="shared" si="10"/>
        <v>0</v>
      </c>
      <c r="L30" s="358">
        <f t="shared" si="10"/>
        <v>256314</v>
      </c>
      <c r="M30" s="359">
        <f t="shared" si="5"/>
        <v>0.17338194707505816</v>
      </c>
      <c r="N30" s="358">
        <f>SUM(N31:N52)</f>
        <v>0</v>
      </c>
      <c r="O30" s="467">
        <f>SUM(O31:O52)</f>
        <v>0</v>
      </c>
      <c r="P30" s="467">
        <f>SUM(P31:P52)</f>
        <v>0</v>
      </c>
      <c r="Q30" s="467">
        <f>SUM(Q31:Q52)</f>
        <v>0</v>
      </c>
      <c r="R30" s="339"/>
      <c r="S30" s="339"/>
      <c r="T30" s="339"/>
      <c r="U30" s="339"/>
      <c r="V30" s="339"/>
      <c r="W30" s="339"/>
      <c r="X30" s="339"/>
      <c r="Y30" s="339"/>
      <c r="Z30" s="339"/>
      <c r="AA30" s="339"/>
      <c r="AB30" s="339"/>
      <c r="AC30" s="339"/>
      <c r="AD30" s="339"/>
      <c r="AE30" s="339"/>
      <c r="AF30" s="339"/>
      <c r="AG30" s="339"/>
      <c r="AH30" s="339"/>
      <c r="AI30" s="339"/>
      <c r="AJ30" s="339"/>
      <c r="AK30" s="339"/>
      <c r="AL30" s="339"/>
      <c r="AM30" s="339"/>
      <c r="AN30" s="339"/>
      <c r="AO30" s="339"/>
      <c r="AP30" s="339"/>
      <c r="AQ30" s="354"/>
      <c r="AR30" s="339"/>
      <c r="AS30" s="354"/>
      <c r="AT30" s="354"/>
      <c r="AU30" s="354"/>
      <c r="AV30" s="354"/>
    </row>
    <row r="31" spans="1:48" s="323" customFormat="1" ht="103.5" customHeight="1">
      <c r="A31" s="51">
        <v>12</v>
      </c>
      <c r="B31" s="140" t="s">
        <v>225</v>
      </c>
      <c r="C31" s="15" t="s">
        <v>136</v>
      </c>
      <c r="D31" s="12">
        <f>'BC UBND Huyện 15 hàng tháng'!E47</f>
        <v>4628824</v>
      </c>
      <c r="E31" s="348"/>
      <c r="F31" s="348">
        <v>3000000</v>
      </c>
      <c r="G31" s="351">
        <f t="shared" ref="G31:G52" si="11">SUM(H31:I31)</f>
        <v>3000000</v>
      </c>
      <c r="H31" s="350"/>
      <c r="I31" s="348">
        <f>'BC UBND Huyện 15 hàng tháng'!R47</f>
        <v>3000000</v>
      </c>
      <c r="J31" s="348">
        <f t="shared" ref="J31:J48" si="12">SUM(K31:L31)</f>
        <v>0</v>
      </c>
      <c r="K31" s="350"/>
      <c r="L31" s="350">
        <f>'BC UBND Huyện 15 hàng tháng'!U47</f>
        <v>0</v>
      </c>
      <c r="M31" s="347">
        <f t="shared" ref="M31:M48" si="13">J31/G31*100</f>
        <v>0</v>
      </c>
      <c r="N31" s="348">
        <f t="shared" ref="N31:N48" si="14">AV31*D31/100</f>
        <v>0</v>
      </c>
      <c r="O31" s="468">
        <f t="shared" ref="O31:O52" si="15">SUM(P31:Q31)</f>
        <v>0</v>
      </c>
      <c r="P31" s="470"/>
      <c r="Q31" s="470"/>
      <c r="R31" s="324"/>
      <c r="S31" s="324"/>
      <c r="T31" s="324"/>
      <c r="U31" s="324"/>
      <c r="V31" s="324"/>
      <c r="W31" s="324"/>
      <c r="X31" s="324"/>
      <c r="Y31" s="324"/>
      <c r="Z31" s="324"/>
      <c r="AA31" s="324"/>
      <c r="AB31" s="324"/>
      <c r="AC31" s="324"/>
      <c r="AD31" s="324"/>
      <c r="AE31" s="324"/>
      <c r="AF31" s="324"/>
      <c r="AG31" s="324"/>
      <c r="AH31" s="324"/>
      <c r="AI31" s="324"/>
      <c r="AJ31" s="357"/>
      <c r="AK31" s="357"/>
      <c r="AL31" s="324"/>
      <c r="AM31" s="324"/>
      <c r="AN31" s="324"/>
      <c r="AO31" s="15"/>
      <c r="AP31" s="15" t="s">
        <v>71</v>
      </c>
      <c r="AQ31" s="355">
        <f>'BC UBND Huyện 15 hàng tháng'!N47</f>
        <v>0</v>
      </c>
      <c r="AR31" s="15" t="str">
        <f>'BC UBND Huyện 15 hàng tháng'!X47</f>
        <v>Đang xét thầu</v>
      </c>
      <c r="AS31" s="356"/>
      <c r="AT31" s="356"/>
      <c r="AU31" s="356"/>
      <c r="AV31" s="13">
        <f>'BC UBND Huyện 15 hàng tháng'!P47</f>
        <v>0</v>
      </c>
    </row>
    <row r="32" spans="1:48" s="323" customFormat="1" ht="103.5" customHeight="1">
      <c r="A32" s="51">
        <v>13</v>
      </c>
      <c r="B32" s="140" t="s">
        <v>226</v>
      </c>
      <c r="C32" s="15" t="s">
        <v>136</v>
      </c>
      <c r="D32" s="12">
        <f>'BC UBND Huyện 15 hàng tháng'!E48</f>
        <v>6771263</v>
      </c>
      <c r="E32" s="348"/>
      <c r="F32" s="348">
        <v>3000000</v>
      </c>
      <c r="G32" s="351">
        <f t="shared" si="11"/>
        <v>3000000</v>
      </c>
      <c r="H32" s="350"/>
      <c r="I32" s="348">
        <f>'BC UBND Huyện 15 hàng tháng'!R48</f>
        <v>3000000</v>
      </c>
      <c r="J32" s="348">
        <f t="shared" si="12"/>
        <v>256314</v>
      </c>
      <c r="K32" s="349"/>
      <c r="L32" s="348">
        <f>'BC UBND Huyện 15 hàng tháng'!U48</f>
        <v>256314</v>
      </c>
      <c r="M32" s="347">
        <f t="shared" si="13"/>
        <v>8.5437999999999992</v>
      </c>
      <c r="N32" s="348">
        <f t="shared" si="14"/>
        <v>0</v>
      </c>
      <c r="O32" s="468">
        <f t="shared" si="15"/>
        <v>0</v>
      </c>
      <c r="P32" s="470"/>
      <c r="Q32" s="470"/>
      <c r="R32" s="324"/>
      <c r="S32" s="324"/>
      <c r="T32" s="324"/>
      <c r="U32" s="324"/>
      <c r="V32" s="324"/>
      <c r="W32" s="324"/>
      <c r="X32" s="324"/>
      <c r="Y32" s="324"/>
      <c r="Z32" s="324"/>
      <c r="AA32" s="324"/>
      <c r="AB32" s="324"/>
      <c r="AC32" s="324"/>
      <c r="AD32" s="324"/>
      <c r="AE32" s="324"/>
      <c r="AF32" s="324"/>
      <c r="AG32" s="324"/>
      <c r="AH32" s="324"/>
      <c r="AI32" s="324"/>
      <c r="AJ32" s="357"/>
      <c r="AK32" s="357"/>
      <c r="AL32" s="324"/>
      <c r="AM32" s="324"/>
      <c r="AN32" s="324"/>
      <c r="AO32" s="15" t="s">
        <v>71</v>
      </c>
      <c r="AP32" s="324"/>
      <c r="AQ32" s="355">
        <f>'BC UBND Huyện 15 hàng tháng'!N48</f>
        <v>0</v>
      </c>
      <c r="AR32" s="15" t="str">
        <f>'BC UBND Huyện 15 hàng tháng'!X48</f>
        <v>Đang lập HSMT</v>
      </c>
      <c r="AS32" s="356"/>
      <c r="AT32" s="356"/>
      <c r="AU32" s="356"/>
      <c r="AV32" s="13">
        <f>'BC UBND Huyện 15 hàng tháng'!P48</f>
        <v>0</v>
      </c>
    </row>
    <row r="33" spans="1:48" s="323" customFormat="1" ht="68.25" customHeight="1">
      <c r="A33" s="51">
        <v>14</v>
      </c>
      <c r="B33" s="141" t="s">
        <v>227</v>
      </c>
      <c r="C33" s="15" t="s">
        <v>136</v>
      </c>
      <c r="D33" s="12">
        <f>'BC UBND Huyện 15 hàng tháng'!E49</f>
        <v>0</v>
      </c>
      <c r="E33" s="348"/>
      <c r="F33" s="348">
        <v>19339000</v>
      </c>
      <c r="G33" s="351">
        <f t="shared" si="11"/>
        <v>8000000</v>
      </c>
      <c r="H33" s="350"/>
      <c r="I33" s="348">
        <f>'BC UBND Huyện 15 hàng tháng'!R49</f>
        <v>8000000</v>
      </c>
      <c r="J33" s="348">
        <f t="shared" si="12"/>
        <v>0</v>
      </c>
      <c r="K33" s="350"/>
      <c r="L33" s="350">
        <f>'BC UBND Huyện 15 hàng tháng'!U49</f>
        <v>0</v>
      </c>
      <c r="M33" s="347">
        <f t="shared" si="13"/>
        <v>0</v>
      </c>
      <c r="N33" s="348">
        <f t="shared" si="14"/>
        <v>0</v>
      </c>
      <c r="O33" s="468">
        <f t="shared" si="15"/>
        <v>0</v>
      </c>
      <c r="P33" s="470"/>
      <c r="Q33" s="470"/>
      <c r="R33" s="324"/>
      <c r="S33" s="324"/>
      <c r="T33" s="324"/>
      <c r="U33" s="324"/>
      <c r="V33" s="324"/>
      <c r="W33" s="324"/>
      <c r="X33" s="324"/>
      <c r="Y33" s="15"/>
      <c r="Z33" s="357" t="s">
        <v>71</v>
      </c>
      <c r="AA33" s="324"/>
      <c r="AB33" s="324"/>
      <c r="AC33" s="324"/>
      <c r="AD33" s="324"/>
      <c r="AE33" s="324"/>
      <c r="AF33" s="324"/>
      <c r="AG33" s="324"/>
      <c r="AH33" s="324"/>
      <c r="AI33" s="324"/>
      <c r="AJ33" s="324"/>
      <c r="AK33" s="324"/>
      <c r="AL33" s="324"/>
      <c r="AM33" s="324"/>
      <c r="AN33" s="324"/>
      <c r="AO33" s="324"/>
      <c r="AP33" s="324"/>
      <c r="AQ33" s="355">
        <f>'BC UBND Huyện 15 hàng tháng'!N49</f>
        <v>0</v>
      </c>
      <c r="AR33" s="15" t="str">
        <f>'BC UBND Huyện 15 hàng tháng'!X49</f>
        <v>Đang thẩm tra</v>
      </c>
      <c r="AS33" s="356"/>
      <c r="AT33" s="356"/>
      <c r="AU33" s="356"/>
      <c r="AV33" s="13">
        <f>'BC UBND Huyện 15 hàng tháng'!P49</f>
        <v>0</v>
      </c>
    </row>
    <row r="34" spans="1:48" s="323" customFormat="1" ht="93" customHeight="1">
      <c r="A34" s="51">
        <v>15</v>
      </c>
      <c r="B34" s="141" t="s">
        <v>228</v>
      </c>
      <c r="C34" s="15" t="s">
        <v>136</v>
      </c>
      <c r="D34" s="12">
        <f>'BC UBND Huyện 15 hàng tháng'!E50</f>
        <v>8512473</v>
      </c>
      <c r="E34" s="348"/>
      <c r="F34" s="348">
        <v>10425000</v>
      </c>
      <c r="G34" s="351">
        <f t="shared" si="11"/>
        <v>4000000</v>
      </c>
      <c r="H34" s="350"/>
      <c r="I34" s="348">
        <f>'BC UBND Huyện 15 hàng tháng'!R50</f>
        <v>4000000</v>
      </c>
      <c r="J34" s="348">
        <f t="shared" si="12"/>
        <v>0</v>
      </c>
      <c r="K34" s="350"/>
      <c r="L34" s="350">
        <f>'BC UBND Huyện 15 hàng tháng'!U50</f>
        <v>0</v>
      </c>
      <c r="M34" s="347">
        <f t="shared" si="13"/>
        <v>0</v>
      </c>
      <c r="N34" s="348">
        <f t="shared" si="14"/>
        <v>0</v>
      </c>
      <c r="O34" s="468">
        <f t="shared" si="15"/>
        <v>0</v>
      </c>
      <c r="P34" s="470"/>
      <c r="Q34" s="470"/>
      <c r="R34" s="324"/>
      <c r="S34" s="324"/>
      <c r="T34" s="324"/>
      <c r="U34" s="324"/>
      <c r="V34" s="324"/>
      <c r="W34" s="324"/>
      <c r="X34" s="324"/>
      <c r="Y34" s="15"/>
      <c r="AA34" s="324"/>
      <c r="AB34" s="324"/>
      <c r="AC34" s="15" t="s">
        <v>71</v>
      </c>
      <c r="AD34" s="324"/>
      <c r="AE34" s="324"/>
      <c r="AF34" s="324"/>
      <c r="AG34" s="324"/>
      <c r="AH34" s="324"/>
      <c r="AI34" s="324"/>
      <c r="AJ34" s="324"/>
      <c r="AK34" s="324"/>
      <c r="AL34" s="324"/>
      <c r="AM34" s="324"/>
      <c r="AN34" s="324"/>
      <c r="AO34" s="324"/>
      <c r="AP34" s="324"/>
      <c r="AQ34" s="355">
        <f>'BC UBND Huyện 15 hàng tháng'!N50</f>
        <v>0</v>
      </c>
      <c r="AR34" s="15" t="str">
        <f>'BC UBND Huyện 15 hàng tháng'!X50</f>
        <v>Phê duyệt KH LCNT ngày 02/07/2021 (Phòng TCKH)</v>
      </c>
      <c r="AS34" s="356"/>
      <c r="AT34" s="356"/>
      <c r="AU34" s="356"/>
      <c r="AV34" s="13">
        <f>'BC UBND Huyện 15 hàng tháng'!P50</f>
        <v>0</v>
      </c>
    </row>
    <row r="35" spans="1:48" s="323" customFormat="1" ht="68.25" customHeight="1">
      <c r="A35" s="51">
        <v>16</v>
      </c>
      <c r="B35" s="141" t="s">
        <v>229</v>
      </c>
      <c r="C35" s="15" t="s">
        <v>136</v>
      </c>
      <c r="D35" s="12">
        <f>'BC UBND Huyện 15 hàng tháng'!E51</f>
        <v>0</v>
      </c>
      <c r="E35" s="348"/>
      <c r="F35" s="348">
        <v>14856000</v>
      </c>
      <c r="G35" s="351">
        <f t="shared" si="11"/>
        <v>6000000</v>
      </c>
      <c r="H35" s="350"/>
      <c r="I35" s="348">
        <f>'BC UBND Huyện 15 hàng tháng'!R51</f>
        <v>6000000</v>
      </c>
      <c r="J35" s="348">
        <f t="shared" si="12"/>
        <v>0</v>
      </c>
      <c r="K35" s="350"/>
      <c r="L35" s="350">
        <f>'BC UBND Huyện 15 hàng tháng'!U51</f>
        <v>0</v>
      </c>
      <c r="M35" s="347">
        <f t="shared" si="13"/>
        <v>0</v>
      </c>
      <c r="N35" s="348">
        <f t="shared" si="14"/>
        <v>0</v>
      </c>
      <c r="O35" s="468">
        <f t="shared" si="15"/>
        <v>0</v>
      </c>
      <c r="P35" s="470"/>
      <c r="Q35" s="470"/>
      <c r="R35" s="324"/>
      <c r="S35" s="324"/>
      <c r="T35" s="324"/>
      <c r="U35" s="324"/>
      <c r="V35" s="324"/>
      <c r="W35" s="324"/>
      <c r="X35" s="324"/>
      <c r="Y35" s="15"/>
      <c r="Z35" s="15" t="s">
        <v>71</v>
      </c>
      <c r="AA35" s="324"/>
      <c r="AB35" s="324"/>
      <c r="AC35" s="324"/>
      <c r="AD35" s="324"/>
      <c r="AE35" s="324"/>
      <c r="AF35" s="324"/>
      <c r="AG35" s="324"/>
      <c r="AH35" s="324"/>
      <c r="AI35" s="324"/>
      <c r="AJ35" s="324"/>
      <c r="AK35" s="324"/>
      <c r="AL35" s="324"/>
      <c r="AM35" s="324"/>
      <c r="AN35" s="324"/>
      <c r="AO35" s="324"/>
      <c r="AP35" s="324"/>
      <c r="AQ35" s="355">
        <f>'BC UBND Huyện 15 hàng tháng'!N51</f>
        <v>0</v>
      </c>
      <c r="AR35" s="15" t="str">
        <f>'BC UBND Huyện 15 hàng tháng'!X51</f>
        <v>Đang thẩm tra</v>
      </c>
      <c r="AS35" s="356"/>
      <c r="AT35" s="356"/>
      <c r="AU35" s="356"/>
      <c r="AV35" s="13">
        <f>'BC UBND Huyện 15 hàng tháng'!P51</f>
        <v>0</v>
      </c>
    </row>
    <row r="36" spans="1:48" s="323" customFormat="1" ht="68.25" customHeight="1">
      <c r="A36" s="51">
        <v>17</v>
      </c>
      <c r="B36" s="141" t="s">
        <v>102</v>
      </c>
      <c r="C36" s="15" t="s">
        <v>136</v>
      </c>
      <c r="D36" s="12">
        <f>'BC UBND Huyện 15 hàng tháng'!E52</f>
        <v>0</v>
      </c>
      <c r="E36" s="348"/>
      <c r="F36" s="348">
        <v>19903000</v>
      </c>
      <c r="G36" s="351">
        <f t="shared" si="11"/>
        <v>8000000</v>
      </c>
      <c r="H36" s="350"/>
      <c r="I36" s="348">
        <f>'BC UBND Huyện 15 hàng tháng'!R52</f>
        <v>8000000</v>
      </c>
      <c r="J36" s="348">
        <f t="shared" si="12"/>
        <v>0</v>
      </c>
      <c r="K36" s="350"/>
      <c r="L36" s="350">
        <f>'BC UBND Huyện 15 hàng tháng'!U52</f>
        <v>0</v>
      </c>
      <c r="M36" s="347">
        <f t="shared" si="13"/>
        <v>0</v>
      </c>
      <c r="N36" s="348">
        <f t="shared" si="14"/>
        <v>0</v>
      </c>
      <c r="O36" s="468">
        <f t="shared" si="15"/>
        <v>0</v>
      </c>
      <c r="P36" s="470"/>
      <c r="Q36" s="470"/>
      <c r="R36" s="324"/>
      <c r="S36" s="324"/>
      <c r="T36" s="324"/>
      <c r="U36" s="324"/>
      <c r="V36" s="324"/>
      <c r="W36" s="324"/>
      <c r="X36" s="324"/>
      <c r="Y36" s="324"/>
      <c r="Z36" s="15"/>
      <c r="AA36" s="15" t="s">
        <v>71</v>
      </c>
      <c r="AB36" s="324"/>
      <c r="AC36" s="324"/>
      <c r="AD36" s="324"/>
      <c r="AE36" s="324"/>
      <c r="AF36" s="324"/>
      <c r="AG36" s="324"/>
      <c r="AH36" s="324"/>
      <c r="AI36" s="324"/>
      <c r="AJ36" s="324"/>
      <c r="AK36" s="324"/>
      <c r="AL36" s="324"/>
      <c r="AM36" s="324"/>
      <c r="AN36" s="324"/>
      <c r="AO36" s="324"/>
      <c r="AP36" s="324"/>
      <c r="AQ36" s="355">
        <f>'BC UBND Huyện 15 hàng tháng'!N52</f>
        <v>0</v>
      </c>
      <c r="AR36" s="15" t="str">
        <f>'BC UBND Huyện 15 hàng tháng'!X52</f>
        <v>Đang trình thẩm định TK cơ sở</v>
      </c>
      <c r="AS36" s="356"/>
      <c r="AT36" s="356"/>
      <c r="AU36" s="356"/>
      <c r="AV36" s="13">
        <f>'BC UBND Huyện 15 hàng tháng'!P52</f>
        <v>0</v>
      </c>
    </row>
    <row r="37" spans="1:48" s="323" customFormat="1" ht="42.75" customHeight="1">
      <c r="A37" s="51">
        <v>18</v>
      </c>
      <c r="B37" s="141" t="s">
        <v>230</v>
      </c>
      <c r="C37" s="15" t="s">
        <v>136</v>
      </c>
      <c r="D37" s="12">
        <f>'BC UBND Huyện 15 hàng tháng'!E53</f>
        <v>0</v>
      </c>
      <c r="E37" s="348"/>
      <c r="F37" s="348">
        <v>14493000</v>
      </c>
      <c r="G37" s="351">
        <f t="shared" si="11"/>
        <v>6000000</v>
      </c>
      <c r="H37" s="350"/>
      <c r="I37" s="348">
        <f>'BC UBND Huyện 15 hàng tháng'!R53</f>
        <v>6000000</v>
      </c>
      <c r="J37" s="348">
        <f t="shared" si="12"/>
        <v>0</v>
      </c>
      <c r="K37" s="350"/>
      <c r="L37" s="350">
        <f>'BC UBND Huyện 15 hàng tháng'!U53</f>
        <v>0</v>
      </c>
      <c r="M37" s="347">
        <f t="shared" si="13"/>
        <v>0</v>
      </c>
      <c r="N37" s="348">
        <f t="shared" si="14"/>
        <v>0</v>
      </c>
      <c r="O37" s="468">
        <f t="shared" si="15"/>
        <v>0</v>
      </c>
      <c r="P37" s="470"/>
      <c r="Q37" s="470"/>
      <c r="R37" s="324"/>
      <c r="S37" s="324"/>
      <c r="T37" s="324"/>
      <c r="U37" s="324"/>
      <c r="V37" s="324"/>
      <c r="W37" s="324"/>
      <c r="X37" s="324"/>
      <c r="Y37" s="15"/>
      <c r="Z37" s="15" t="s">
        <v>71</v>
      </c>
      <c r="AA37" s="324"/>
      <c r="AB37" s="324"/>
      <c r="AC37" s="324"/>
      <c r="AD37" s="324"/>
      <c r="AE37" s="324"/>
      <c r="AF37" s="324"/>
      <c r="AG37" s="324"/>
      <c r="AH37" s="324"/>
      <c r="AI37" s="324"/>
      <c r="AJ37" s="324"/>
      <c r="AK37" s="324"/>
      <c r="AL37" s="324"/>
      <c r="AM37" s="324"/>
      <c r="AN37" s="324"/>
      <c r="AO37" s="324"/>
      <c r="AP37" s="324"/>
      <c r="AQ37" s="355">
        <f>'BC UBND Huyện 15 hàng tháng'!N53</f>
        <v>0</v>
      </c>
      <c r="AR37" s="15" t="str">
        <f>'BC UBND Huyện 15 hàng tháng'!X53</f>
        <v>Đang lập HS trình thẩm định</v>
      </c>
      <c r="AS37" s="356"/>
      <c r="AT37" s="356"/>
      <c r="AU37" s="356"/>
      <c r="AV37" s="13">
        <f>'BC UBND Huyện 15 hàng tháng'!P53</f>
        <v>0</v>
      </c>
    </row>
    <row r="38" spans="1:48" s="323" customFormat="1" ht="54" customHeight="1">
      <c r="A38" s="51">
        <v>19</v>
      </c>
      <c r="B38" s="141" t="s">
        <v>231</v>
      </c>
      <c r="C38" s="15" t="s">
        <v>136</v>
      </c>
      <c r="D38" s="12">
        <f>'BC UBND Huyện 15 hàng tháng'!E54</f>
        <v>0</v>
      </c>
      <c r="E38" s="348"/>
      <c r="F38" s="348">
        <v>19680000</v>
      </c>
      <c r="G38" s="351">
        <f t="shared" si="11"/>
        <v>8000000</v>
      </c>
      <c r="H38" s="350"/>
      <c r="I38" s="348">
        <f>'BC UBND Huyện 15 hàng tháng'!R54</f>
        <v>8000000</v>
      </c>
      <c r="J38" s="348">
        <f t="shared" si="12"/>
        <v>0</v>
      </c>
      <c r="K38" s="350"/>
      <c r="L38" s="350">
        <f>'BC UBND Huyện 15 hàng tháng'!U54</f>
        <v>0</v>
      </c>
      <c r="M38" s="347">
        <f t="shared" si="13"/>
        <v>0</v>
      </c>
      <c r="N38" s="348">
        <f t="shared" si="14"/>
        <v>0</v>
      </c>
      <c r="O38" s="468">
        <f t="shared" si="15"/>
        <v>0</v>
      </c>
      <c r="P38" s="470"/>
      <c r="Q38" s="470"/>
      <c r="R38" s="324"/>
      <c r="S38" s="324"/>
      <c r="T38" s="324"/>
      <c r="U38" s="324"/>
      <c r="V38" s="324"/>
      <c r="W38" s="324"/>
      <c r="X38" s="324"/>
      <c r="Y38" s="15"/>
      <c r="Z38" s="15"/>
      <c r="AA38" s="15" t="s">
        <v>71</v>
      </c>
      <c r="AB38" s="324"/>
      <c r="AC38" s="324"/>
      <c r="AD38" s="324"/>
      <c r="AE38" s="324"/>
      <c r="AF38" s="324"/>
      <c r="AG38" s="324"/>
      <c r="AH38" s="324"/>
      <c r="AI38" s="324"/>
      <c r="AJ38" s="324"/>
      <c r="AK38" s="324"/>
      <c r="AL38" s="324"/>
      <c r="AM38" s="324"/>
      <c r="AN38" s="324"/>
      <c r="AO38" s="324"/>
      <c r="AP38" s="324"/>
      <c r="AQ38" s="355">
        <f>'BC UBND Huyện 15 hàng tháng'!N54</f>
        <v>0</v>
      </c>
      <c r="AR38" s="15" t="str">
        <f>'BC UBND Huyện 15 hàng tháng'!X54</f>
        <v>Đang trình thẩm định dự án</v>
      </c>
      <c r="AS38" s="356"/>
      <c r="AT38" s="356"/>
      <c r="AU38" s="356"/>
      <c r="AV38" s="13">
        <f>'BC UBND Huyện 15 hàng tháng'!P54</f>
        <v>0</v>
      </c>
    </row>
    <row r="39" spans="1:48" s="323" customFormat="1" ht="77.25" customHeight="1">
      <c r="A39" s="51">
        <v>20</v>
      </c>
      <c r="B39" s="141" t="s">
        <v>232</v>
      </c>
      <c r="C39" s="15" t="s">
        <v>136</v>
      </c>
      <c r="D39" s="12">
        <f>'BC UBND Huyện 15 hàng tháng'!E55</f>
        <v>0</v>
      </c>
      <c r="E39" s="348"/>
      <c r="F39" s="348">
        <v>37021000</v>
      </c>
      <c r="G39" s="351">
        <f t="shared" si="11"/>
        <v>15000000</v>
      </c>
      <c r="H39" s="350"/>
      <c r="I39" s="348">
        <f>'BC UBND Huyện 15 hàng tháng'!R55</f>
        <v>15000000</v>
      </c>
      <c r="J39" s="348">
        <f t="shared" si="12"/>
        <v>0</v>
      </c>
      <c r="K39" s="350"/>
      <c r="L39" s="350">
        <f>'BC UBND Huyện 15 hàng tháng'!U55</f>
        <v>0</v>
      </c>
      <c r="M39" s="347">
        <f t="shared" si="13"/>
        <v>0</v>
      </c>
      <c r="N39" s="348">
        <f t="shared" si="14"/>
        <v>0</v>
      </c>
      <c r="O39" s="468">
        <f t="shared" si="15"/>
        <v>0</v>
      </c>
      <c r="P39" s="470"/>
      <c r="Q39" s="470"/>
      <c r="R39" s="324"/>
      <c r="S39" s="324"/>
      <c r="T39" s="324"/>
      <c r="U39" s="324"/>
      <c r="V39" s="324"/>
      <c r="W39" s="324"/>
      <c r="X39" s="324"/>
      <c r="Y39" s="324"/>
      <c r="Z39" s="15" t="s">
        <v>71</v>
      </c>
      <c r="AA39" s="324"/>
      <c r="AB39" s="324"/>
      <c r="AC39" s="324"/>
      <c r="AD39" s="324"/>
      <c r="AE39" s="324"/>
      <c r="AF39" s="324"/>
      <c r="AG39" s="324"/>
      <c r="AH39" s="324"/>
      <c r="AI39" s="324"/>
      <c r="AJ39" s="324"/>
      <c r="AK39" s="324"/>
      <c r="AL39" s="324"/>
      <c r="AM39" s="324"/>
      <c r="AN39" s="324"/>
      <c r="AO39" s="324"/>
      <c r="AP39" s="324"/>
      <c r="AQ39" s="355">
        <f>'BC UBND Huyện 15 hàng tháng'!N55</f>
        <v>0</v>
      </c>
      <c r="AR39" s="15" t="str">
        <f>'BC UBND Huyện 15 hàng tháng'!X55</f>
        <v>Đang trình thẩm định dự án</v>
      </c>
      <c r="AS39" s="356"/>
      <c r="AT39" s="356"/>
      <c r="AU39" s="356"/>
      <c r="AV39" s="13">
        <f>'BC UBND Huyện 15 hàng tháng'!P55</f>
        <v>0</v>
      </c>
    </row>
    <row r="40" spans="1:48" s="323" customFormat="1" ht="68.25" customHeight="1">
      <c r="A40" s="51">
        <v>21</v>
      </c>
      <c r="B40" s="141" t="s">
        <v>233</v>
      </c>
      <c r="C40" s="15" t="s">
        <v>136</v>
      </c>
      <c r="D40" s="12">
        <f>'BC UBND Huyện 15 hàng tháng'!E56</f>
        <v>0</v>
      </c>
      <c r="E40" s="348"/>
      <c r="F40" s="348">
        <v>29942000</v>
      </c>
      <c r="G40" s="351">
        <f t="shared" si="11"/>
        <v>12000000</v>
      </c>
      <c r="H40" s="350"/>
      <c r="I40" s="348">
        <f>'BC UBND Huyện 15 hàng tháng'!R56</f>
        <v>12000000</v>
      </c>
      <c r="J40" s="348">
        <f t="shared" si="12"/>
        <v>0</v>
      </c>
      <c r="K40" s="350"/>
      <c r="L40" s="350">
        <f>'BC UBND Huyện 15 hàng tháng'!U56</f>
        <v>0</v>
      </c>
      <c r="M40" s="347">
        <f t="shared" si="13"/>
        <v>0</v>
      </c>
      <c r="N40" s="348">
        <f t="shared" si="14"/>
        <v>0</v>
      </c>
      <c r="O40" s="468">
        <f t="shared" si="15"/>
        <v>0</v>
      </c>
      <c r="P40" s="470"/>
      <c r="Q40" s="470"/>
      <c r="R40" s="324"/>
      <c r="S40" s="324"/>
      <c r="T40" s="324"/>
      <c r="U40" s="324"/>
      <c r="V40" s="324"/>
      <c r="W40" s="324"/>
      <c r="X40" s="324"/>
      <c r="Y40" s="324"/>
      <c r="Z40" s="15"/>
      <c r="AA40" s="15" t="s">
        <v>71</v>
      </c>
      <c r="AB40" s="324"/>
      <c r="AC40" s="324"/>
      <c r="AD40" s="324"/>
      <c r="AE40" s="324"/>
      <c r="AF40" s="324"/>
      <c r="AG40" s="324"/>
      <c r="AH40" s="324"/>
      <c r="AI40" s="324"/>
      <c r="AJ40" s="324"/>
      <c r="AK40" s="324"/>
      <c r="AL40" s="324"/>
      <c r="AM40" s="324"/>
      <c r="AN40" s="324"/>
      <c r="AO40" s="324"/>
      <c r="AP40" s="324"/>
      <c r="AQ40" s="355">
        <f>'BC UBND Huyện 15 hàng tháng'!N56</f>
        <v>0</v>
      </c>
      <c r="AR40" s="15" t="str">
        <f>'BC UBND Huyện 15 hàng tháng'!X56</f>
        <v>Đang trình thẩm định dự án</v>
      </c>
      <c r="AS40" s="356"/>
      <c r="AT40" s="356"/>
      <c r="AU40" s="356"/>
      <c r="AV40" s="13">
        <f>'BC UBND Huyện 15 hàng tháng'!P56</f>
        <v>0</v>
      </c>
    </row>
    <row r="41" spans="1:48" s="323" customFormat="1" ht="57.75" customHeight="1">
      <c r="A41" s="51">
        <v>22</v>
      </c>
      <c r="B41" s="141" t="s">
        <v>234</v>
      </c>
      <c r="C41" s="15" t="s">
        <v>136</v>
      </c>
      <c r="D41" s="12">
        <f>'BC UBND Huyện 15 hàng tháng'!E57</f>
        <v>0</v>
      </c>
      <c r="E41" s="348"/>
      <c r="F41" s="348">
        <v>30783000</v>
      </c>
      <c r="G41" s="351">
        <f t="shared" si="11"/>
        <v>12000000</v>
      </c>
      <c r="H41" s="350"/>
      <c r="I41" s="348">
        <f>'BC UBND Huyện 15 hàng tháng'!R57</f>
        <v>12000000</v>
      </c>
      <c r="J41" s="348">
        <f t="shared" si="12"/>
        <v>0</v>
      </c>
      <c r="K41" s="350"/>
      <c r="L41" s="350">
        <f>'BC UBND Huyện 15 hàng tháng'!U57</f>
        <v>0</v>
      </c>
      <c r="M41" s="347">
        <f t="shared" si="13"/>
        <v>0</v>
      </c>
      <c r="N41" s="348">
        <f t="shared" si="14"/>
        <v>0</v>
      </c>
      <c r="O41" s="468">
        <f t="shared" si="15"/>
        <v>0</v>
      </c>
      <c r="P41" s="470"/>
      <c r="Q41" s="470"/>
      <c r="R41" s="324"/>
      <c r="S41" s="324"/>
      <c r="T41" s="324"/>
      <c r="U41" s="324"/>
      <c r="V41" s="324"/>
      <c r="W41" s="324"/>
      <c r="X41" s="324"/>
      <c r="Y41" s="15"/>
      <c r="Z41" s="15"/>
      <c r="AA41" s="15" t="s">
        <v>71</v>
      </c>
      <c r="AB41" s="324"/>
      <c r="AC41" s="324"/>
      <c r="AD41" s="324"/>
      <c r="AE41" s="324"/>
      <c r="AF41" s="324"/>
      <c r="AG41" s="324"/>
      <c r="AH41" s="324"/>
      <c r="AI41" s="324"/>
      <c r="AJ41" s="324"/>
      <c r="AK41" s="324"/>
      <c r="AL41" s="324"/>
      <c r="AM41" s="324"/>
      <c r="AN41" s="324"/>
      <c r="AO41" s="324"/>
      <c r="AP41" s="324"/>
      <c r="AQ41" s="355">
        <f>'BC UBND Huyện 15 hàng tháng'!N57</f>
        <v>0</v>
      </c>
      <c r="AR41" s="15" t="str">
        <f>'BC UBND Huyện 15 hàng tháng'!X57</f>
        <v>Đang trình thẩm định dự án</v>
      </c>
      <c r="AS41" s="356"/>
      <c r="AT41" s="356"/>
      <c r="AU41" s="356"/>
      <c r="AV41" s="13">
        <f>'BC UBND Huyện 15 hàng tháng'!P57</f>
        <v>0</v>
      </c>
    </row>
    <row r="42" spans="1:48" s="323" customFormat="1" ht="57.75" customHeight="1">
      <c r="A42" s="51">
        <v>23</v>
      </c>
      <c r="B42" s="381" t="s">
        <v>499</v>
      </c>
      <c r="C42" s="15" t="s">
        <v>136</v>
      </c>
      <c r="D42" s="12">
        <f>'BC UBND Huyện 15 hàng tháng'!E58</f>
        <v>0</v>
      </c>
      <c r="E42" s="348"/>
      <c r="F42" s="348">
        <v>9900000</v>
      </c>
      <c r="G42" s="351">
        <f t="shared" si="11"/>
        <v>3500000</v>
      </c>
      <c r="H42" s="350"/>
      <c r="I42" s="348">
        <f>'BC UBND Huyện 15 hàng tháng'!R58</f>
        <v>3500000</v>
      </c>
      <c r="J42" s="348">
        <f t="shared" si="12"/>
        <v>0</v>
      </c>
      <c r="K42" s="350"/>
      <c r="L42" s="350">
        <f>'BC UBND Huyện 15 hàng tháng'!U58</f>
        <v>0</v>
      </c>
      <c r="M42" s="347">
        <f t="shared" si="13"/>
        <v>0</v>
      </c>
      <c r="N42" s="348">
        <f t="shared" si="14"/>
        <v>0</v>
      </c>
      <c r="O42" s="468">
        <f t="shared" si="15"/>
        <v>0</v>
      </c>
      <c r="P42" s="470"/>
      <c r="Q42" s="470"/>
      <c r="R42" s="356" t="s">
        <v>71</v>
      </c>
      <c r="S42" s="324"/>
      <c r="T42" s="324"/>
      <c r="U42" s="324"/>
      <c r="V42" s="324"/>
      <c r="W42" s="324"/>
      <c r="X42" s="324"/>
      <c r="Y42" s="15"/>
      <c r="Z42" s="15"/>
      <c r="AA42" s="324"/>
      <c r="AB42" s="324"/>
      <c r="AC42" s="324"/>
      <c r="AD42" s="324"/>
      <c r="AE42" s="324"/>
      <c r="AF42" s="324"/>
      <c r="AG42" s="324"/>
      <c r="AH42" s="324"/>
      <c r="AI42" s="324"/>
      <c r="AJ42" s="324"/>
      <c r="AK42" s="324"/>
      <c r="AL42" s="324"/>
      <c r="AM42" s="324"/>
      <c r="AN42" s="324"/>
      <c r="AO42" s="324"/>
      <c r="AP42" s="324"/>
      <c r="AQ42" s="355">
        <f>'BC UBND Huyện 15 hàng tháng'!N58</f>
        <v>0</v>
      </c>
      <c r="AR42" s="15" t="str">
        <f>'BC UBND Huyện 15 hàng tháng'!X58</f>
        <v>Đang lập HSTK</v>
      </c>
      <c r="AS42" s="356"/>
      <c r="AT42" s="356"/>
      <c r="AU42" s="356"/>
      <c r="AV42" s="13"/>
    </row>
    <row r="43" spans="1:48" s="323" customFormat="1" ht="57.75" customHeight="1">
      <c r="A43" s="51">
        <v>24</v>
      </c>
      <c r="B43" s="381" t="s">
        <v>500</v>
      </c>
      <c r="C43" s="15" t="s">
        <v>136</v>
      </c>
      <c r="D43" s="12">
        <f>'BC UBND Huyện 15 hàng tháng'!E59</f>
        <v>0</v>
      </c>
      <c r="E43" s="348"/>
      <c r="F43" s="348">
        <v>16600000</v>
      </c>
      <c r="G43" s="351">
        <f t="shared" si="11"/>
        <v>3500000</v>
      </c>
      <c r="H43" s="350"/>
      <c r="I43" s="348">
        <f>'BC UBND Huyện 15 hàng tháng'!R59</f>
        <v>3500000</v>
      </c>
      <c r="J43" s="348">
        <f t="shared" si="12"/>
        <v>0</v>
      </c>
      <c r="K43" s="350"/>
      <c r="L43" s="350">
        <f>'BC UBND Huyện 15 hàng tháng'!U59</f>
        <v>0</v>
      </c>
      <c r="M43" s="347">
        <f t="shared" si="13"/>
        <v>0</v>
      </c>
      <c r="N43" s="348">
        <f t="shared" si="14"/>
        <v>0</v>
      </c>
      <c r="O43" s="468">
        <f t="shared" si="15"/>
        <v>0</v>
      </c>
      <c r="P43" s="470"/>
      <c r="Q43" s="470"/>
      <c r="R43" s="356" t="s">
        <v>71</v>
      </c>
      <c r="S43" s="324"/>
      <c r="T43" s="324"/>
      <c r="U43" s="324"/>
      <c r="V43" s="324"/>
      <c r="W43" s="324"/>
      <c r="X43" s="324"/>
      <c r="Y43" s="15"/>
      <c r="Z43" s="15"/>
      <c r="AA43" s="324"/>
      <c r="AB43" s="324"/>
      <c r="AC43" s="324"/>
      <c r="AD43" s="324"/>
      <c r="AE43" s="324"/>
      <c r="AF43" s="324"/>
      <c r="AG43" s="324"/>
      <c r="AH43" s="324"/>
      <c r="AI43" s="324"/>
      <c r="AJ43" s="324"/>
      <c r="AK43" s="324"/>
      <c r="AL43" s="324"/>
      <c r="AM43" s="324"/>
      <c r="AN43" s="324"/>
      <c r="AO43" s="324"/>
      <c r="AP43" s="324"/>
      <c r="AQ43" s="355">
        <f>'BC UBND Huyện 15 hàng tháng'!N59</f>
        <v>0</v>
      </c>
      <c r="AR43" s="15" t="str">
        <f>'BC UBND Huyện 15 hàng tháng'!X59</f>
        <v>Đang lập HSTK</v>
      </c>
      <c r="AS43" s="356"/>
      <c r="AT43" s="356"/>
      <c r="AU43" s="356"/>
      <c r="AV43" s="13"/>
    </row>
    <row r="44" spans="1:48" s="323" customFormat="1" ht="57.75" customHeight="1">
      <c r="A44" s="51">
        <v>25</v>
      </c>
      <c r="B44" s="381" t="s">
        <v>501</v>
      </c>
      <c r="C44" s="15" t="s">
        <v>136</v>
      </c>
      <c r="D44" s="12">
        <f>'BC UBND Huyện 15 hàng tháng'!E60</f>
        <v>0</v>
      </c>
      <c r="E44" s="348"/>
      <c r="F44" s="348">
        <v>26700000</v>
      </c>
      <c r="G44" s="351">
        <f t="shared" si="11"/>
        <v>3500000</v>
      </c>
      <c r="H44" s="350"/>
      <c r="I44" s="348">
        <f>'BC UBND Huyện 15 hàng tháng'!R60</f>
        <v>3500000</v>
      </c>
      <c r="J44" s="348">
        <f t="shared" si="12"/>
        <v>0</v>
      </c>
      <c r="K44" s="350"/>
      <c r="L44" s="350">
        <f>'BC UBND Huyện 15 hàng tháng'!U60</f>
        <v>0</v>
      </c>
      <c r="M44" s="347">
        <f t="shared" si="13"/>
        <v>0</v>
      </c>
      <c r="N44" s="348">
        <f t="shared" si="14"/>
        <v>0</v>
      </c>
      <c r="O44" s="468">
        <f t="shared" si="15"/>
        <v>0</v>
      </c>
      <c r="P44" s="470"/>
      <c r="Q44" s="470"/>
      <c r="R44" s="356" t="s">
        <v>71</v>
      </c>
      <c r="S44" s="324"/>
      <c r="T44" s="324"/>
      <c r="U44" s="324"/>
      <c r="V44" s="324"/>
      <c r="W44" s="324"/>
      <c r="X44" s="324"/>
      <c r="Y44" s="15"/>
      <c r="Z44" s="15"/>
      <c r="AA44" s="324"/>
      <c r="AB44" s="324"/>
      <c r="AC44" s="324"/>
      <c r="AD44" s="324"/>
      <c r="AE44" s="324"/>
      <c r="AF44" s="324"/>
      <c r="AG44" s="324"/>
      <c r="AH44" s="324"/>
      <c r="AI44" s="324"/>
      <c r="AJ44" s="324"/>
      <c r="AK44" s="324"/>
      <c r="AL44" s="324"/>
      <c r="AM44" s="324"/>
      <c r="AN44" s="324"/>
      <c r="AO44" s="324"/>
      <c r="AP44" s="324"/>
      <c r="AQ44" s="355">
        <f>'BC UBND Huyện 15 hàng tháng'!N60</f>
        <v>0</v>
      </c>
      <c r="AR44" s="15" t="str">
        <f>'BC UBND Huyện 15 hàng tháng'!X60</f>
        <v>Đang lấy ý kiến PCCC bước TK cơ sở</v>
      </c>
      <c r="AS44" s="356"/>
      <c r="AT44" s="356"/>
      <c r="AU44" s="356"/>
      <c r="AV44" s="13"/>
    </row>
    <row r="45" spans="1:48" s="323" customFormat="1" ht="57.75" customHeight="1">
      <c r="A45" s="51">
        <v>26</v>
      </c>
      <c r="B45" s="381" t="s">
        <v>502</v>
      </c>
      <c r="C45" s="15" t="s">
        <v>136</v>
      </c>
      <c r="D45" s="12">
        <f>'BC UBND Huyện 15 hàng tháng'!E61</f>
        <v>0</v>
      </c>
      <c r="E45" s="348"/>
      <c r="F45" s="348">
        <v>24100000</v>
      </c>
      <c r="G45" s="351">
        <f t="shared" si="11"/>
        <v>2832000</v>
      </c>
      <c r="H45" s="350"/>
      <c r="I45" s="348">
        <f>'BC UBND Huyện 15 hàng tháng'!R61</f>
        <v>2832000</v>
      </c>
      <c r="J45" s="348">
        <f t="shared" si="12"/>
        <v>0</v>
      </c>
      <c r="K45" s="350"/>
      <c r="L45" s="350">
        <f>'BC UBND Huyện 15 hàng tháng'!U61</f>
        <v>0</v>
      </c>
      <c r="M45" s="347">
        <f t="shared" si="13"/>
        <v>0</v>
      </c>
      <c r="N45" s="348">
        <f t="shared" si="14"/>
        <v>0</v>
      </c>
      <c r="O45" s="468">
        <f t="shared" si="15"/>
        <v>0</v>
      </c>
      <c r="P45" s="470"/>
      <c r="Q45" s="470"/>
      <c r="R45" s="356" t="s">
        <v>71</v>
      </c>
      <c r="S45" s="324"/>
      <c r="T45" s="324"/>
      <c r="U45" s="324"/>
      <c r="V45" s="324"/>
      <c r="W45" s="324"/>
      <c r="X45" s="324"/>
      <c r="Y45" s="15"/>
      <c r="Z45" s="15"/>
      <c r="AA45" s="324"/>
      <c r="AB45" s="324"/>
      <c r="AC45" s="324"/>
      <c r="AD45" s="324"/>
      <c r="AE45" s="324"/>
      <c r="AF45" s="324"/>
      <c r="AG45" s="324"/>
      <c r="AH45" s="324"/>
      <c r="AI45" s="324"/>
      <c r="AJ45" s="324"/>
      <c r="AK45" s="324"/>
      <c r="AL45" s="324"/>
      <c r="AM45" s="324"/>
      <c r="AN45" s="324"/>
      <c r="AO45" s="324"/>
      <c r="AP45" s="324"/>
      <c r="AQ45" s="355">
        <f>'BC UBND Huyện 15 hàng tháng'!N61</f>
        <v>0</v>
      </c>
      <c r="AR45" s="15" t="str">
        <f>'BC UBND Huyện 15 hàng tháng'!X61</f>
        <v>Đang lập HSTK</v>
      </c>
      <c r="AS45" s="356"/>
      <c r="AT45" s="356"/>
      <c r="AU45" s="356"/>
      <c r="AV45" s="13"/>
    </row>
    <row r="46" spans="1:48" s="323" customFormat="1" ht="57.75" customHeight="1">
      <c r="A46" s="51">
        <v>27</v>
      </c>
      <c r="B46" s="381" t="s">
        <v>503</v>
      </c>
      <c r="C46" s="15" t="s">
        <v>136</v>
      </c>
      <c r="D46" s="12">
        <f>'BC UBND Huyện 15 hàng tháng'!E62</f>
        <v>0</v>
      </c>
      <c r="E46" s="348"/>
      <c r="F46" s="348">
        <v>18000000</v>
      </c>
      <c r="G46" s="351">
        <f t="shared" si="11"/>
        <v>3500000</v>
      </c>
      <c r="H46" s="350"/>
      <c r="I46" s="348">
        <f>'BC UBND Huyện 15 hàng tháng'!R62</f>
        <v>3500000</v>
      </c>
      <c r="J46" s="348">
        <f t="shared" si="12"/>
        <v>0</v>
      </c>
      <c r="K46" s="350"/>
      <c r="L46" s="350">
        <f>'BC UBND Huyện 15 hàng tháng'!U62</f>
        <v>0</v>
      </c>
      <c r="M46" s="347">
        <f t="shared" si="13"/>
        <v>0</v>
      </c>
      <c r="N46" s="348">
        <f t="shared" si="14"/>
        <v>0</v>
      </c>
      <c r="O46" s="468">
        <f t="shared" si="15"/>
        <v>0</v>
      </c>
      <c r="P46" s="470"/>
      <c r="Q46" s="470"/>
      <c r="R46" s="356" t="s">
        <v>71</v>
      </c>
      <c r="S46" s="324"/>
      <c r="T46" s="324"/>
      <c r="U46" s="324"/>
      <c r="V46" s="324"/>
      <c r="W46" s="324"/>
      <c r="X46" s="324"/>
      <c r="Y46" s="15"/>
      <c r="Z46" s="15"/>
      <c r="AA46" s="324"/>
      <c r="AB46" s="324"/>
      <c r="AC46" s="324"/>
      <c r="AD46" s="324"/>
      <c r="AE46" s="324"/>
      <c r="AF46" s="324"/>
      <c r="AG46" s="324"/>
      <c r="AH46" s="324"/>
      <c r="AI46" s="324"/>
      <c r="AJ46" s="324"/>
      <c r="AK46" s="324"/>
      <c r="AL46" s="324"/>
      <c r="AM46" s="324"/>
      <c r="AN46" s="324"/>
      <c r="AO46" s="324"/>
      <c r="AP46" s="324"/>
      <c r="AQ46" s="355">
        <f>'BC UBND Huyện 15 hàng tháng'!N62</f>
        <v>0</v>
      </c>
      <c r="AR46" s="15" t="str">
        <f>'BC UBND Huyện 15 hàng tháng'!X62</f>
        <v>Đang thẩm tra</v>
      </c>
      <c r="AS46" s="356"/>
      <c r="AT46" s="356"/>
      <c r="AU46" s="356"/>
      <c r="AV46" s="13"/>
    </row>
    <row r="47" spans="1:48" s="323" customFormat="1" ht="105" customHeight="1">
      <c r="A47" s="156">
        <v>28</v>
      </c>
      <c r="B47" s="157" t="s">
        <v>235</v>
      </c>
      <c r="C47" s="15" t="s">
        <v>136</v>
      </c>
      <c r="D47" s="12">
        <f>'BC UBND Huyện 15 hàng tháng'!E63</f>
        <v>0</v>
      </c>
      <c r="E47" s="348"/>
      <c r="F47" s="348">
        <v>28000000</v>
      </c>
      <c r="G47" s="351">
        <f t="shared" si="11"/>
        <v>14000000</v>
      </c>
      <c r="H47" s="350"/>
      <c r="I47" s="348">
        <f>'BC UBND Huyện 15 hàng tháng'!R63</f>
        <v>14000000</v>
      </c>
      <c r="J47" s="348">
        <f t="shared" si="12"/>
        <v>0</v>
      </c>
      <c r="K47" s="350"/>
      <c r="L47" s="350">
        <f>'BC UBND Huyện 15 hàng tháng'!U63</f>
        <v>0</v>
      </c>
      <c r="M47" s="347">
        <f t="shared" si="13"/>
        <v>0</v>
      </c>
      <c r="N47" s="348">
        <f t="shared" si="14"/>
        <v>0</v>
      </c>
      <c r="O47" s="468">
        <f t="shared" si="15"/>
        <v>0</v>
      </c>
      <c r="P47" s="470"/>
      <c r="Q47" s="470"/>
      <c r="R47" s="324"/>
      <c r="S47" s="324"/>
      <c r="T47" s="324"/>
      <c r="U47" s="324"/>
      <c r="V47" s="324"/>
      <c r="W47" s="15"/>
      <c r="X47" s="324"/>
      <c r="Y47" s="15"/>
      <c r="Z47" s="324"/>
      <c r="AA47" s="15" t="s">
        <v>71</v>
      </c>
      <c r="AB47" s="324"/>
      <c r="AC47" s="324"/>
      <c r="AD47" s="324"/>
      <c r="AE47" s="324"/>
      <c r="AF47" s="324"/>
      <c r="AG47" s="324"/>
      <c r="AH47" s="324"/>
      <c r="AI47" s="324"/>
      <c r="AJ47" s="324"/>
      <c r="AK47" s="324"/>
      <c r="AL47" s="324"/>
      <c r="AM47" s="324"/>
      <c r="AN47" s="324"/>
      <c r="AO47" s="324"/>
      <c r="AP47" s="324"/>
      <c r="AQ47" s="355">
        <f>'BC UBND Huyện 15 hàng tháng'!N63</f>
        <v>0</v>
      </c>
      <c r="AR47" s="15" t="str">
        <f>'BC UBND Huyện 15 hàng tháng'!X63</f>
        <v>Đã có KQ thẩm định TKCS, đang trình thẩm định dự toán dự án đầu tư (Phòng KTHT)</v>
      </c>
      <c r="AS47" s="356"/>
      <c r="AT47" s="356"/>
      <c r="AU47" s="356"/>
      <c r="AV47" s="13">
        <f>'BC UBND Huyện 15 hàng tháng'!P63</f>
        <v>0</v>
      </c>
    </row>
    <row r="48" spans="1:48" s="323" customFormat="1" ht="51.75" customHeight="1">
      <c r="A48" s="156">
        <v>29</v>
      </c>
      <c r="B48" s="157" t="s">
        <v>236</v>
      </c>
      <c r="C48" s="15" t="s">
        <v>136</v>
      </c>
      <c r="D48" s="12">
        <f>'BC UBND Huyện 15 hàng tháng'!E64</f>
        <v>14019166</v>
      </c>
      <c r="E48" s="348"/>
      <c r="F48" s="348">
        <v>15000000</v>
      </c>
      <c r="G48" s="351">
        <f t="shared" si="11"/>
        <v>8000000</v>
      </c>
      <c r="H48" s="350"/>
      <c r="I48" s="348">
        <f>'BC UBND Huyện 15 hàng tháng'!R64</f>
        <v>8000000</v>
      </c>
      <c r="J48" s="348">
        <f t="shared" si="12"/>
        <v>0</v>
      </c>
      <c r="K48" s="350"/>
      <c r="L48" s="350">
        <f>'BC UBND Huyện 15 hàng tháng'!U64</f>
        <v>0</v>
      </c>
      <c r="M48" s="347">
        <f t="shared" si="13"/>
        <v>0</v>
      </c>
      <c r="N48" s="348">
        <f t="shared" si="14"/>
        <v>0</v>
      </c>
      <c r="O48" s="468">
        <f t="shared" si="15"/>
        <v>0</v>
      </c>
      <c r="P48" s="470"/>
      <c r="Q48" s="470"/>
      <c r="R48" s="324"/>
      <c r="S48" s="324"/>
      <c r="T48" s="324"/>
      <c r="U48" s="324"/>
      <c r="V48" s="324"/>
      <c r="W48" s="15"/>
      <c r="X48" s="324"/>
      <c r="Y48" s="324"/>
      <c r="Z48" s="15"/>
      <c r="AA48" s="324"/>
      <c r="AB48" s="324"/>
      <c r="AC48" s="324"/>
      <c r="AD48" s="324"/>
      <c r="AE48" s="324"/>
      <c r="AF48" s="324"/>
      <c r="AG48" s="324"/>
      <c r="AH48" s="324"/>
      <c r="AI48" s="324"/>
      <c r="AJ48" s="356" t="s">
        <v>71</v>
      </c>
      <c r="AK48" s="324"/>
      <c r="AL48" s="324"/>
      <c r="AM48" s="324"/>
      <c r="AN48" s="324"/>
      <c r="AO48" s="324"/>
      <c r="AP48" s="324"/>
      <c r="AQ48" s="355">
        <f>'BC UBND Huyện 15 hàng tháng'!N64</f>
        <v>0</v>
      </c>
      <c r="AR48" s="15" t="str">
        <f>'BC UBND Huyện 15 hàng tháng'!X64</f>
        <v>Đang lập HSMT</v>
      </c>
      <c r="AS48" s="356"/>
      <c r="AT48" s="356"/>
      <c r="AU48" s="356"/>
      <c r="AV48" s="13">
        <f>'BC UBND Huyện 15 hàng tháng'!P64</f>
        <v>0</v>
      </c>
    </row>
    <row r="49" spans="1:48" s="323" customFormat="1" ht="51.75" customHeight="1">
      <c r="A49" s="156">
        <v>30</v>
      </c>
      <c r="B49" s="398" t="s">
        <v>506</v>
      </c>
      <c r="C49" s="15" t="s">
        <v>136</v>
      </c>
      <c r="D49" s="12">
        <f>'BC UBND Huyện 15 hàng tháng'!E65</f>
        <v>0</v>
      </c>
      <c r="E49" s="348"/>
      <c r="F49" s="348"/>
      <c r="G49" s="351">
        <f t="shared" si="11"/>
        <v>9000000</v>
      </c>
      <c r="H49" s="350"/>
      <c r="I49" s="348">
        <f>'BC UBND Huyện 15 hàng tháng'!R65</f>
        <v>9000000</v>
      </c>
      <c r="J49" s="348"/>
      <c r="K49" s="350"/>
      <c r="L49" s="350"/>
      <c r="M49" s="347"/>
      <c r="N49" s="348"/>
      <c r="O49" s="468">
        <f t="shared" si="15"/>
        <v>0</v>
      </c>
      <c r="P49" s="470"/>
      <c r="Q49" s="470"/>
      <c r="R49" s="356" t="s">
        <v>71</v>
      </c>
      <c r="S49" s="324"/>
      <c r="T49" s="324"/>
      <c r="U49" s="324"/>
      <c r="V49" s="324"/>
      <c r="W49" s="15"/>
      <c r="X49" s="324"/>
      <c r="Y49" s="324"/>
      <c r="Z49" s="15"/>
      <c r="AA49" s="324"/>
      <c r="AB49" s="324"/>
      <c r="AC49" s="324"/>
      <c r="AD49" s="324"/>
      <c r="AE49" s="324"/>
      <c r="AF49" s="324"/>
      <c r="AG49" s="324"/>
      <c r="AH49" s="324"/>
      <c r="AI49" s="324"/>
      <c r="AJ49" s="324"/>
      <c r="AK49" s="324"/>
      <c r="AL49" s="324"/>
      <c r="AM49" s="324"/>
      <c r="AN49" s="324"/>
      <c r="AO49" s="324"/>
      <c r="AP49" s="324"/>
      <c r="AQ49" s="355">
        <f>'BC UBND Huyện 15 hàng tháng'!N65</f>
        <v>0</v>
      </c>
      <c r="AR49" s="15" t="str">
        <f>'BC UBND Huyện 15 hàng tháng'!X65</f>
        <v>Đang xin chủ trương điều chỉnh quy mô</v>
      </c>
      <c r="AS49" s="356"/>
      <c r="AT49" s="356"/>
      <c r="AU49" s="356"/>
      <c r="AV49" s="13"/>
    </row>
    <row r="50" spans="1:48" s="323" customFormat="1" ht="51.75" customHeight="1">
      <c r="A50" s="156">
        <v>31</v>
      </c>
      <c r="B50" s="398" t="s">
        <v>507</v>
      </c>
      <c r="C50" s="15" t="s">
        <v>136</v>
      </c>
      <c r="D50" s="12">
        <f>'BC UBND Huyện 15 hàng tháng'!E66</f>
        <v>0</v>
      </c>
      <c r="E50" s="348"/>
      <c r="F50" s="348"/>
      <c r="G50" s="351">
        <f t="shared" si="11"/>
        <v>9000000</v>
      </c>
      <c r="H50" s="350"/>
      <c r="I50" s="348">
        <f>'BC UBND Huyện 15 hàng tháng'!R66</f>
        <v>9000000</v>
      </c>
      <c r="J50" s="348"/>
      <c r="K50" s="350"/>
      <c r="L50" s="350"/>
      <c r="M50" s="347"/>
      <c r="N50" s="348"/>
      <c r="O50" s="468">
        <f t="shared" si="15"/>
        <v>0</v>
      </c>
      <c r="P50" s="470"/>
      <c r="Q50" s="470"/>
      <c r="R50" s="324"/>
      <c r="S50" s="324"/>
      <c r="T50" s="324"/>
      <c r="U50" s="324"/>
      <c r="V50" s="356" t="s">
        <v>71</v>
      </c>
      <c r="W50" s="15"/>
      <c r="X50" s="324"/>
      <c r="Y50" s="324"/>
      <c r="Z50" s="15"/>
      <c r="AA50" s="324"/>
      <c r="AB50" s="324"/>
      <c r="AC50" s="324"/>
      <c r="AD50" s="324"/>
      <c r="AE50" s="324"/>
      <c r="AF50" s="324"/>
      <c r="AG50" s="324"/>
      <c r="AH50" s="324"/>
      <c r="AI50" s="324"/>
      <c r="AJ50" s="324"/>
      <c r="AK50" s="324"/>
      <c r="AL50" s="324"/>
      <c r="AM50" s="324"/>
      <c r="AN50" s="324"/>
      <c r="AO50" s="324"/>
      <c r="AP50" s="324"/>
      <c r="AQ50" s="355">
        <f>'BC UBND Huyện 15 hàng tháng'!N66</f>
        <v>0</v>
      </c>
      <c r="AR50" s="15" t="str">
        <f>'BC UBND Huyện 15 hàng tháng'!X66</f>
        <v>Đang xin chủ trương điều chỉnh quy mô</v>
      </c>
      <c r="AS50" s="356"/>
      <c r="AT50" s="356"/>
      <c r="AU50" s="356"/>
      <c r="AV50" s="13"/>
    </row>
    <row r="51" spans="1:48" s="323" customFormat="1" ht="90" customHeight="1">
      <c r="A51" s="156">
        <v>32</v>
      </c>
      <c r="B51" s="398" t="s">
        <v>508</v>
      </c>
      <c r="C51" s="15" t="s">
        <v>136</v>
      </c>
      <c r="D51" s="12">
        <f>'BC UBND Huyện 15 hàng tháng'!E67</f>
        <v>0</v>
      </c>
      <c r="E51" s="348"/>
      <c r="F51" s="348"/>
      <c r="G51" s="351">
        <f t="shared" si="11"/>
        <v>3000000</v>
      </c>
      <c r="H51" s="350"/>
      <c r="I51" s="348">
        <f>'BC UBND Huyện 15 hàng tháng'!R67</f>
        <v>3000000</v>
      </c>
      <c r="J51" s="348"/>
      <c r="K51" s="350"/>
      <c r="L51" s="350"/>
      <c r="M51" s="347"/>
      <c r="N51" s="348"/>
      <c r="O51" s="468">
        <f t="shared" si="15"/>
        <v>0</v>
      </c>
      <c r="P51" s="470"/>
      <c r="Q51" s="470"/>
      <c r="R51" s="324"/>
      <c r="S51" s="324"/>
      <c r="T51" s="324"/>
      <c r="U51" s="324"/>
      <c r="V51" s="356" t="s">
        <v>71</v>
      </c>
      <c r="W51" s="15"/>
      <c r="X51" s="324"/>
      <c r="Y51" s="324"/>
      <c r="Z51" s="15"/>
      <c r="AA51" s="324"/>
      <c r="AB51" s="324"/>
      <c r="AC51" s="324"/>
      <c r="AD51" s="324"/>
      <c r="AE51" s="324"/>
      <c r="AF51" s="324"/>
      <c r="AG51" s="324"/>
      <c r="AH51" s="324"/>
      <c r="AI51" s="324"/>
      <c r="AJ51" s="324"/>
      <c r="AK51" s="324"/>
      <c r="AL51" s="324"/>
      <c r="AM51" s="324"/>
      <c r="AN51" s="324"/>
      <c r="AO51" s="324"/>
      <c r="AP51" s="324"/>
      <c r="AQ51" s="355">
        <f>'BC UBND Huyện 15 hàng tháng'!N67</f>
        <v>0</v>
      </c>
      <c r="AR51" s="15" t="str">
        <f>'BC UBND Huyện 15 hàng tháng'!X67</f>
        <v>Đang trình thẩm định BC KTKT ngày 23/06/2021 (Phòng KTHT)</v>
      </c>
      <c r="AS51" s="356"/>
      <c r="AT51" s="356"/>
      <c r="AU51" s="356"/>
      <c r="AV51" s="13"/>
    </row>
    <row r="52" spans="1:48" s="323" customFormat="1" ht="51.75" customHeight="1">
      <c r="A52" s="156">
        <v>33</v>
      </c>
      <c r="B52" s="398" t="s">
        <v>509</v>
      </c>
      <c r="C52" s="15" t="s">
        <v>136</v>
      </c>
      <c r="D52" s="12">
        <f>'BC UBND Huyện 15 hàng tháng'!E68</f>
        <v>0</v>
      </c>
      <c r="E52" s="348"/>
      <c r="F52" s="348"/>
      <c r="G52" s="351">
        <f t="shared" si="11"/>
        <v>3000000</v>
      </c>
      <c r="H52" s="350"/>
      <c r="I52" s="348">
        <f>'BC UBND Huyện 15 hàng tháng'!R68</f>
        <v>3000000</v>
      </c>
      <c r="J52" s="348"/>
      <c r="K52" s="350"/>
      <c r="L52" s="350"/>
      <c r="M52" s="347"/>
      <c r="N52" s="348"/>
      <c r="O52" s="468">
        <f t="shared" si="15"/>
        <v>0</v>
      </c>
      <c r="P52" s="470"/>
      <c r="Q52" s="470"/>
      <c r="R52" s="356" t="s">
        <v>71</v>
      </c>
      <c r="S52" s="324"/>
      <c r="T52" s="324"/>
      <c r="U52" s="324"/>
      <c r="V52" s="324"/>
      <c r="W52" s="15"/>
      <c r="X52" s="324"/>
      <c r="Y52" s="324"/>
      <c r="Z52" s="15"/>
      <c r="AA52" s="324"/>
      <c r="AB52" s="324"/>
      <c r="AC52" s="324"/>
      <c r="AD52" s="324"/>
      <c r="AE52" s="324"/>
      <c r="AF52" s="324"/>
      <c r="AG52" s="324"/>
      <c r="AH52" s="324"/>
      <c r="AI52" s="324"/>
      <c r="AJ52" s="324"/>
      <c r="AK52" s="324"/>
      <c r="AL52" s="324"/>
      <c r="AM52" s="324"/>
      <c r="AN52" s="324"/>
      <c r="AO52" s="324"/>
      <c r="AP52" s="324"/>
      <c r="AQ52" s="355">
        <f>'BC UBND Huyện 15 hàng tháng'!N68</f>
        <v>0</v>
      </c>
      <c r="AR52" s="15" t="str">
        <f>'BC UBND Huyện 15 hàng tháng'!X68</f>
        <v>Đang xin chủ trương điều chỉnh quy mô</v>
      </c>
      <c r="AS52" s="356"/>
      <c r="AT52" s="356"/>
      <c r="AU52" s="356"/>
      <c r="AV52" s="13"/>
    </row>
    <row r="53" spans="1:48" s="340" customFormat="1" ht="42.75" customHeight="1">
      <c r="A53" s="333" t="s">
        <v>40</v>
      </c>
      <c r="B53" s="334" t="s">
        <v>237</v>
      </c>
      <c r="C53" s="339"/>
      <c r="D53" s="358">
        <f>SUM(D54:D55)</f>
        <v>9250075</v>
      </c>
      <c r="E53" s="358">
        <f t="shared" ref="E53:L53" si="16">SUM(E54:E55)</f>
        <v>0</v>
      </c>
      <c r="F53" s="358">
        <f t="shared" si="16"/>
        <v>0</v>
      </c>
      <c r="G53" s="358">
        <f t="shared" si="16"/>
        <v>8000000</v>
      </c>
      <c r="H53" s="358">
        <f t="shared" si="16"/>
        <v>0</v>
      </c>
      <c r="I53" s="358">
        <f t="shared" si="16"/>
        <v>8000000</v>
      </c>
      <c r="J53" s="358">
        <f t="shared" si="16"/>
        <v>3338481</v>
      </c>
      <c r="K53" s="358">
        <f t="shared" si="16"/>
        <v>0</v>
      </c>
      <c r="L53" s="358">
        <f t="shared" si="16"/>
        <v>3338481</v>
      </c>
      <c r="M53" s="359">
        <f>J53/G53*100</f>
        <v>41.731012499999999</v>
      </c>
      <c r="N53" s="366">
        <f>SUM(N54:N55)</f>
        <v>3133632.5300000003</v>
      </c>
      <c r="O53" s="467">
        <f>SUM(O54:O55)</f>
        <v>0</v>
      </c>
      <c r="P53" s="467">
        <f>SUM(P54:P55)</f>
        <v>0</v>
      </c>
      <c r="Q53" s="467">
        <f>SUM(Q54:Q55)</f>
        <v>0</v>
      </c>
      <c r="R53" s="339"/>
      <c r="S53" s="339"/>
      <c r="T53" s="339"/>
      <c r="U53" s="339"/>
      <c r="V53" s="339"/>
      <c r="W53" s="339"/>
      <c r="X53" s="339"/>
      <c r="Y53" s="339"/>
      <c r="Z53" s="339"/>
      <c r="AA53" s="339"/>
      <c r="AB53" s="339"/>
      <c r="AC53" s="339"/>
      <c r="AD53" s="339"/>
      <c r="AE53" s="339"/>
      <c r="AF53" s="339"/>
      <c r="AG53" s="339"/>
      <c r="AH53" s="339"/>
      <c r="AI53" s="339"/>
      <c r="AJ53" s="339"/>
      <c r="AK53" s="339"/>
      <c r="AL53" s="339"/>
      <c r="AM53" s="339"/>
      <c r="AN53" s="339"/>
      <c r="AO53" s="339"/>
      <c r="AP53" s="339"/>
      <c r="AQ53" s="354"/>
      <c r="AR53" s="339"/>
      <c r="AS53" s="354"/>
      <c r="AT53" s="354"/>
      <c r="AU53" s="354"/>
      <c r="AV53" s="354"/>
    </row>
    <row r="54" spans="1:48" s="322" customFormat="1" ht="94.5" customHeight="1">
      <c r="A54" s="8">
        <v>34</v>
      </c>
      <c r="B54" s="9" t="s">
        <v>223</v>
      </c>
      <c r="C54" s="15" t="s">
        <v>421</v>
      </c>
      <c r="D54" s="12">
        <f>'BC UBND Huyện 15 hàng tháng'!E70</f>
        <v>4655019</v>
      </c>
      <c r="E54" s="348"/>
      <c r="F54" s="348"/>
      <c r="G54" s="351">
        <f>SUM(H54:I54)</f>
        <v>4000000</v>
      </c>
      <c r="H54" s="348"/>
      <c r="I54" s="348">
        <f>'BC UBND Huyện 15 hàng tháng'!R70</f>
        <v>4000000</v>
      </c>
      <c r="J54" s="348">
        <f>SUM(K54:L54)</f>
        <v>1214363</v>
      </c>
      <c r="K54" s="349"/>
      <c r="L54" s="348">
        <f>'BC UBND Huyện 15 hàng tháng'!U70</f>
        <v>1214363</v>
      </c>
      <c r="M54" s="347">
        <f>J54/G54*100</f>
        <v>30.359075000000001</v>
      </c>
      <c r="N54" s="348">
        <f>AV54*D54/100</f>
        <v>698252.85</v>
      </c>
      <c r="O54" s="468">
        <f>SUM(P54:Q54)</f>
        <v>0</v>
      </c>
      <c r="P54" s="469"/>
      <c r="Q54" s="469"/>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55" t="str">
        <f>'BC UBND Huyện 15 hàng tháng'!N70</f>
        <v>Số 16/2021/HĐ-XD ngày 26/03/2021;  KC-HT: '02/04/2021-27/01/2022</v>
      </c>
      <c r="AR54" s="15" t="str">
        <f>'BC UBND Huyện 15 hàng tháng'!X70</f>
        <v>Đang đỗ BT gối cống + hố ga</v>
      </c>
      <c r="AS54" s="15" t="s">
        <v>449</v>
      </c>
      <c r="AT54" s="15" t="s">
        <v>492</v>
      </c>
      <c r="AU54" s="15" t="s">
        <v>493</v>
      </c>
      <c r="AV54" s="13">
        <f>'BC UBND Huyện 15 hàng tháng'!P70</f>
        <v>15</v>
      </c>
    </row>
    <row r="55" spans="1:48" s="322" customFormat="1" ht="94.5" customHeight="1">
      <c r="A55" s="8">
        <v>35</v>
      </c>
      <c r="B55" s="9" t="s">
        <v>224</v>
      </c>
      <c r="C55" s="15" t="s">
        <v>421</v>
      </c>
      <c r="D55" s="12">
        <f>'BC UBND Huyện 15 hàng tháng'!E71</f>
        <v>4595056</v>
      </c>
      <c r="E55" s="348"/>
      <c r="F55" s="348"/>
      <c r="G55" s="351">
        <f>SUM(H55:I55)</f>
        <v>4000000</v>
      </c>
      <c r="H55" s="348"/>
      <c r="I55" s="348">
        <f>'BC UBND Huyện 15 hàng tháng'!R71</f>
        <v>4000000</v>
      </c>
      <c r="J55" s="348">
        <f>SUM(K55:L55)</f>
        <v>2124118</v>
      </c>
      <c r="K55" s="349"/>
      <c r="L55" s="348">
        <f>'BC UBND Huyện 15 hàng tháng'!U71</f>
        <v>2124118</v>
      </c>
      <c r="M55" s="347">
        <f>J55/G55*100</f>
        <v>53.102950000000007</v>
      </c>
      <c r="N55" s="348">
        <f>AV55*D55/100</f>
        <v>2435379.6800000002</v>
      </c>
      <c r="O55" s="468">
        <f>SUM(P55:Q55)</f>
        <v>0</v>
      </c>
      <c r="P55" s="469"/>
      <c r="Q55" s="469"/>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55" t="str">
        <f>'BC UBND Huyện 15 hàng tháng'!N71</f>
        <v>Số 10/2021/HĐ-XD ngày 16/03/2021;  KC-HT: '22/03/2021-17/01/2022</v>
      </c>
      <c r="AR55" s="15" t="str">
        <f>'BC UBND Huyện 15 hàng tháng'!X71</f>
        <v>Đang thi công đắp lề và đỗ BT bó vỉa</v>
      </c>
      <c r="AS55" s="15" t="s">
        <v>449</v>
      </c>
      <c r="AT55" s="15" t="s">
        <v>494</v>
      </c>
      <c r="AU55" s="15" t="s">
        <v>493</v>
      </c>
      <c r="AV55" s="13">
        <f>'BC UBND Huyện 15 hàng tháng'!P71</f>
        <v>53</v>
      </c>
    </row>
    <row r="56" spans="1:48" s="340" customFormat="1" ht="42.75" customHeight="1">
      <c r="A56" s="328" t="s">
        <v>41</v>
      </c>
      <c r="B56" s="335" t="s">
        <v>288</v>
      </c>
      <c r="C56" s="339"/>
      <c r="D56" s="358">
        <f>D57</f>
        <v>3013408</v>
      </c>
      <c r="E56" s="358">
        <f t="shared" ref="E56:L56" si="17">E57</f>
        <v>0</v>
      </c>
      <c r="F56" s="358">
        <f t="shared" si="17"/>
        <v>0</v>
      </c>
      <c r="G56" s="358">
        <f t="shared" si="17"/>
        <v>1535481</v>
      </c>
      <c r="H56" s="358">
        <f t="shared" si="17"/>
        <v>0</v>
      </c>
      <c r="I56" s="358">
        <f t="shared" si="17"/>
        <v>1535481</v>
      </c>
      <c r="J56" s="358">
        <f t="shared" si="17"/>
        <v>1264455</v>
      </c>
      <c r="K56" s="358">
        <f t="shared" si="17"/>
        <v>0</v>
      </c>
      <c r="L56" s="358">
        <f t="shared" si="17"/>
        <v>1264455</v>
      </c>
      <c r="M56" s="359">
        <f>J56/G56*100</f>
        <v>82.349114056116619</v>
      </c>
      <c r="N56" s="366">
        <f>N57</f>
        <v>3013408</v>
      </c>
      <c r="O56" s="467">
        <f>O57</f>
        <v>0</v>
      </c>
      <c r="P56" s="467">
        <f>P57</f>
        <v>0</v>
      </c>
      <c r="Q56" s="467">
        <f>Q57</f>
        <v>0</v>
      </c>
      <c r="R56" s="339"/>
      <c r="S56" s="339"/>
      <c r="T56" s="339"/>
      <c r="U56" s="339"/>
      <c r="V56" s="339"/>
      <c r="W56" s="339"/>
      <c r="X56" s="339"/>
      <c r="Y56" s="339"/>
      <c r="Z56" s="339"/>
      <c r="AA56" s="339"/>
      <c r="AB56" s="339"/>
      <c r="AC56" s="339"/>
      <c r="AD56" s="339"/>
      <c r="AE56" s="339"/>
      <c r="AF56" s="339"/>
      <c r="AG56" s="339"/>
      <c r="AH56" s="339"/>
      <c r="AI56" s="339"/>
      <c r="AJ56" s="339"/>
      <c r="AK56" s="339"/>
      <c r="AL56" s="339"/>
      <c r="AM56" s="339"/>
      <c r="AN56" s="339"/>
      <c r="AO56" s="339"/>
      <c r="AP56" s="339"/>
      <c r="AQ56" s="354"/>
      <c r="AR56" s="339"/>
      <c r="AS56" s="354"/>
      <c r="AT56" s="354"/>
      <c r="AU56" s="354"/>
      <c r="AV56" s="354"/>
    </row>
    <row r="57" spans="1:48" s="323" customFormat="1" ht="51.75" customHeight="1">
      <c r="A57" s="156">
        <v>36</v>
      </c>
      <c r="B57" s="157" t="s">
        <v>289</v>
      </c>
      <c r="C57" s="15" t="s">
        <v>422</v>
      </c>
      <c r="D57" s="12">
        <f>'BC UBND Huyện 15 hàng tháng'!E73</f>
        <v>3013408</v>
      </c>
      <c r="E57" s="348"/>
      <c r="F57" s="348"/>
      <c r="G57" s="351">
        <f>SUM(H57:I57)</f>
        <v>1535481</v>
      </c>
      <c r="H57" s="350"/>
      <c r="I57" s="348">
        <f>'BC UBND Huyện 15 hàng tháng'!R73</f>
        <v>1535481</v>
      </c>
      <c r="J57" s="348">
        <f>SUM(K57:L57)</f>
        <v>1264455</v>
      </c>
      <c r="K57" s="350"/>
      <c r="L57" s="348">
        <f>'BC UBND Huyện 15 hàng tháng'!U73</f>
        <v>1264455</v>
      </c>
      <c r="M57" s="347">
        <f>J57/G57*100</f>
        <v>82.349114056116619</v>
      </c>
      <c r="N57" s="348">
        <f>AV57*D57/100</f>
        <v>3013408</v>
      </c>
      <c r="O57" s="468">
        <f>SUM(P57:Q57)</f>
        <v>0</v>
      </c>
      <c r="P57" s="470"/>
      <c r="Q57" s="470"/>
      <c r="R57" s="324"/>
      <c r="S57" s="324"/>
      <c r="T57" s="324"/>
      <c r="U57" s="324"/>
      <c r="V57" s="324"/>
      <c r="W57" s="324"/>
      <c r="X57" s="324"/>
      <c r="Y57" s="324"/>
      <c r="Z57" s="324"/>
      <c r="AA57" s="324"/>
      <c r="AB57" s="324"/>
      <c r="AC57" s="324"/>
      <c r="AD57" s="324"/>
      <c r="AE57" s="324"/>
      <c r="AF57" s="324"/>
      <c r="AG57" s="324"/>
      <c r="AH57" s="324"/>
      <c r="AI57" s="324"/>
      <c r="AJ57" s="324"/>
      <c r="AK57" s="324"/>
      <c r="AL57" s="324"/>
      <c r="AM57" s="324"/>
      <c r="AN57" s="324"/>
      <c r="AO57" s="324"/>
      <c r="AP57" s="324"/>
      <c r="AQ57" s="356"/>
      <c r="AR57" s="324"/>
      <c r="AS57" s="356"/>
      <c r="AT57" s="356"/>
      <c r="AU57" s="356"/>
      <c r="AV57" s="15">
        <f>SUM(AV58:AV60)/3</f>
        <v>100</v>
      </c>
    </row>
    <row r="58" spans="1:48" s="322" customFormat="1" ht="94.5" customHeight="1">
      <c r="A58" s="8"/>
      <c r="B58" s="9" t="s">
        <v>298</v>
      </c>
      <c r="C58" s="15"/>
      <c r="D58" s="12"/>
      <c r="E58" s="348"/>
      <c r="F58" s="348"/>
      <c r="G58" s="351">
        <f>SUM(H58:I58)</f>
        <v>0</v>
      </c>
      <c r="H58" s="348"/>
      <c r="I58" s="348"/>
      <c r="J58" s="348">
        <f>SUM(K58:L58)</f>
        <v>0</v>
      </c>
      <c r="K58" s="349"/>
      <c r="L58" s="348"/>
      <c r="M58" s="347"/>
      <c r="N58" s="349"/>
      <c r="O58" s="468">
        <f>SUM(P58:Q58)</f>
        <v>0</v>
      </c>
      <c r="P58" s="469"/>
      <c r="Q58" s="469"/>
      <c r="R58" s="325"/>
      <c r="S58" s="325"/>
      <c r="T58" s="325"/>
      <c r="U58" s="325"/>
      <c r="V58" s="325"/>
      <c r="W58" s="325"/>
      <c r="X58" s="325"/>
      <c r="Y58" s="325"/>
      <c r="Z58" s="325"/>
      <c r="AA58" s="325"/>
      <c r="AB58" s="325"/>
      <c r="AC58" s="325"/>
      <c r="AD58" s="325"/>
      <c r="AE58" s="325"/>
      <c r="AF58" s="325"/>
      <c r="AG58" s="325"/>
      <c r="AH58" s="325"/>
      <c r="AI58" s="325"/>
      <c r="AJ58" s="325"/>
      <c r="AK58" s="325"/>
      <c r="AL58" s="325"/>
      <c r="AM58" s="325"/>
      <c r="AN58" s="325"/>
      <c r="AO58" s="325"/>
      <c r="AP58" s="325"/>
      <c r="AQ58" s="355" t="str">
        <f>'BC UBND Huyện 15 hàng tháng'!N74</f>
        <v>Số 07/2021/HĐ-XD ngày 05/03/2021;  KC-HT: '08/03/2021-07/05/2021</v>
      </c>
      <c r="AR58" s="15" t="str">
        <f>'BC UBND Huyện 15 hàng tháng'!X74</f>
        <v>Hoàn thành</v>
      </c>
      <c r="AS58" s="15"/>
      <c r="AT58" s="357"/>
      <c r="AU58" s="357"/>
      <c r="AV58" s="13">
        <f>'BC UBND Huyện 15 hàng tháng'!P74</f>
        <v>100</v>
      </c>
    </row>
    <row r="59" spans="1:48" s="322" customFormat="1" ht="94.5" customHeight="1">
      <c r="A59" s="8"/>
      <c r="B59" s="9" t="s">
        <v>292</v>
      </c>
      <c r="C59" s="15"/>
      <c r="D59" s="12"/>
      <c r="E59" s="348"/>
      <c r="F59" s="348"/>
      <c r="G59" s="351">
        <f>SUM(H59:I59)</f>
        <v>0</v>
      </c>
      <c r="H59" s="348"/>
      <c r="I59" s="348"/>
      <c r="J59" s="348">
        <f>SUM(K59:L59)</f>
        <v>0</v>
      </c>
      <c r="K59" s="349"/>
      <c r="L59" s="348"/>
      <c r="M59" s="347"/>
      <c r="N59" s="349"/>
      <c r="O59" s="468">
        <f>SUM(P59:Q59)</f>
        <v>0</v>
      </c>
      <c r="P59" s="469"/>
      <c r="Q59" s="469"/>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5"/>
      <c r="AO59" s="325"/>
      <c r="AP59" s="325"/>
      <c r="AQ59" s="355" t="str">
        <f>'BC UBND Huyện 15 hàng tháng'!N75</f>
        <v>Số 08/2021/HĐ-XD ngày 05/03/2021;  KC-HT: '08/03/2021-07/05/2021</v>
      </c>
      <c r="AR59" s="15" t="str">
        <f>'BC UBND Huyện 15 hàng tháng'!X75</f>
        <v>Hoàn thành</v>
      </c>
      <c r="AS59" s="357"/>
      <c r="AT59" s="357"/>
      <c r="AU59" s="357"/>
      <c r="AV59" s="13">
        <f>'BC UBND Huyện 15 hàng tháng'!P75</f>
        <v>100</v>
      </c>
    </row>
    <row r="60" spans="1:48" s="322" customFormat="1" ht="94.5" customHeight="1">
      <c r="A60" s="8"/>
      <c r="B60" s="9" t="s">
        <v>295</v>
      </c>
      <c r="C60" s="15"/>
      <c r="D60" s="12"/>
      <c r="E60" s="348"/>
      <c r="F60" s="348"/>
      <c r="G60" s="351">
        <f>SUM(H60:I60)</f>
        <v>0</v>
      </c>
      <c r="H60" s="348"/>
      <c r="I60" s="348"/>
      <c r="J60" s="348">
        <f>SUM(K60:L60)</f>
        <v>0</v>
      </c>
      <c r="K60" s="349"/>
      <c r="L60" s="348"/>
      <c r="M60" s="347"/>
      <c r="N60" s="349"/>
      <c r="O60" s="468">
        <f>SUM(P60:Q60)</f>
        <v>0</v>
      </c>
      <c r="P60" s="469"/>
      <c r="Q60" s="469"/>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55" t="str">
        <f>'BC UBND Huyện 15 hàng tháng'!N76</f>
        <v>Số 09/2021/HĐ-XD ngày 05/03/2021;  KC-HT: '08/03/2021-07/05/2021</v>
      </c>
      <c r="AR60" s="15" t="str">
        <f>'BC UBND Huyện 15 hàng tháng'!X76</f>
        <v>Hoàn thành</v>
      </c>
      <c r="AS60" s="15"/>
      <c r="AT60" s="357"/>
      <c r="AU60" s="357"/>
      <c r="AV60" s="13">
        <f>'BC UBND Huyện 15 hàng tháng'!P76</f>
        <v>100</v>
      </c>
    </row>
    <row r="61" spans="1:48" s="340" customFormat="1" ht="56.25" customHeight="1">
      <c r="A61" s="333" t="s">
        <v>418</v>
      </c>
      <c r="B61" s="334" t="s">
        <v>516</v>
      </c>
      <c r="C61" s="339"/>
      <c r="D61" s="358">
        <f>SUM(D62:D63)</f>
        <v>5101242</v>
      </c>
      <c r="E61" s="358">
        <f t="shared" ref="E61:L61" si="18">SUM(E62:E63)</f>
        <v>0</v>
      </c>
      <c r="F61" s="358">
        <f t="shared" si="18"/>
        <v>0</v>
      </c>
      <c r="G61" s="358">
        <f t="shared" si="18"/>
        <v>2300000</v>
      </c>
      <c r="H61" s="358">
        <f t="shared" si="18"/>
        <v>0</v>
      </c>
      <c r="I61" s="358">
        <f t="shared" si="18"/>
        <v>2300000</v>
      </c>
      <c r="J61" s="358">
        <f t="shared" si="18"/>
        <v>14477</v>
      </c>
      <c r="K61" s="358">
        <f t="shared" si="18"/>
        <v>0</v>
      </c>
      <c r="L61" s="358">
        <f t="shared" si="18"/>
        <v>14477</v>
      </c>
      <c r="M61" s="359">
        <f>J61/G61*100</f>
        <v>0.62943478260869568</v>
      </c>
      <c r="N61" s="366">
        <f>SUM(N62:N63)</f>
        <v>0</v>
      </c>
      <c r="O61" s="467">
        <f>SUM(O62:O63)</f>
        <v>0</v>
      </c>
      <c r="P61" s="467">
        <f>SUM(P62:P63)</f>
        <v>0</v>
      </c>
      <c r="Q61" s="467">
        <f>SUM(Q62:Q63)</f>
        <v>0</v>
      </c>
      <c r="R61" s="339"/>
      <c r="S61" s="339"/>
      <c r="T61" s="339"/>
      <c r="U61" s="339"/>
      <c r="V61" s="339"/>
      <c r="W61" s="339"/>
      <c r="X61" s="339"/>
      <c r="Y61" s="339"/>
      <c r="Z61" s="339"/>
      <c r="AA61" s="339"/>
      <c r="AB61" s="339"/>
      <c r="AC61" s="339"/>
      <c r="AD61" s="339"/>
      <c r="AE61" s="339"/>
      <c r="AF61" s="339"/>
      <c r="AG61" s="339"/>
      <c r="AH61" s="339"/>
      <c r="AI61" s="339"/>
      <c r="AJ61" s="339"/>
      <c r="AK61" s="339"/>
      <c r="AL61" s="339"/>
      <c r="AM61" s="339"/>
      <c r="AN61" s="339"/>
      <c r="AO61" s="339"/>
      <c r="AP61" s="339"/>
      <c r="AQ61" s="354"/>
      <c r="AR61" s="339"/>
      <c r="AS61" s="354"/>
      <c r="AT61" s="354"/>
      <c r="AU61" s="354"/>
      <c r="AV61" s="354"/>
    </row>
    <row r="62" spans="1:48" s="322" customFormat="1" ht="94.5" customHeight="1">
      <c r="A62" s="160">
        <v>37</v>
      </c>
      <c r="B62" s="446" t="s">
        <v>517</v>
      </c>
      <c r="C62" s="15" t="s">
        <v>522</v>
      </c>
      <c r="D62" s="12">
        <f>'BC UBND Huyện 15 hàng tháng'!E78</f>
        <v>597356</v>
      </c>
      <c r="E62" s="348"/>
      <c r="F62" s="348"/>
      <c r="G62" s="351">
        <f>SUM(H62:I62)</f>
        <v>554457</v>
      </c>
      <c r="H62" s="348"/>
      <c r="I62" s="348">
        <f>'BC UBND Huyện 15 hàng tháng'!R78</f>
        <v>554457</v>
      </c>
      <c r="J62" s="348">
        <f>SUM(K62:L62)</f>
        <v>14477</v>
      </c>
      <c r="K62" s="349"/>
      <c r="L62" s="348">
        <f>'BC UBND Huyện 15 hàng tháng'!U78</f>
        <v>14477</v>
      </c>
      <c r="M62" s="347"/>
      <c r="N62" s="348">
        <f>AV62*D62/100</f>
        <v>0</v>
      </c>
      <c r="O62" s="468">
        <f>SUM(P62:Q62)</f>
        <v>0</v>
      </c>
      <c r="P62" s="469"/>
      <c r="Q62" s="469"/>
      <c r="R62" s="325"/>
      <c r="S62" s="325"/>
      <c r="T62" s="325"/>
      <c r="U62" s="325"/>
      <c r="V62" s="325"/>
      <c r="W62" s="325"/>
      <c r="X62" s="325"/>
      <c r="Y62" s="325"/>
      <c r="Z62" s="325"/>
      <c r="AA62" s="325"/>
      <c r="AB62" s="325"/>
      <c r="AC62" s="325"/>
      <c r="AD62" s="325"/>
      <c r="AE62" s="325"/>
      <c r="AF62" s="325"/>
      <c r="AG62" s="325"/>
      <c r="AH62" s="325"/>
      <c r="AI62" s="325"/>
      <c r="AJ62" s="325"/>
      <c r="AK62" s="15"/>
      <c r="AL62" s="325"/>
      <c r="AM62" s="325"/>
      <c r="AN62" s="325"/>
      <c r="AO62" s="325"/>
      <c r="AP62" s="357"/>
      <c r="AQ62" s="355" t="str">
        <f>'BC UBND Huyện 15 hàng tháng'!N78</f>
        <v>Số 29/2021/HĐ-XD ngày 14/06/2021;  KC-HT: '21/06/2021-19/10/2021</v>
      </c>
      <c r="AR62" s="15" t="str">
        <f>'BC UBND Huyện 15 hàng tháng'!X78</f>
        <v>Đang tập kết vật tư + thiết bị thi công</v>
      </c>
      <c r="AS62" s="15"/>
      <c r="AT62" s="357"/>
      <c r="AU62" s="357"/>
      <c r="AV62" s="13"/>
    </row>
    <row r="63" spans="1:48" s="322" customFormat="1" ht="94.5" customHeight="1">
      <c r="A63" s="160">
        <v>38</v>
      </c>
      <c r="B63" s="446" t="s">
        <v>518</v>
      </c>
      <c r="C63" s="15" t="s">
        <v>522</v>
      </c>
      <c r="D63" s="12">
        <f>'BC UBND Huyện 15 hàng tháng'!E79</f>
        <v>4503886</v>
      </c>
      <c r="E63" s="348"/>
      <c r="F63" s="348"/>
      <c r="G63" s="351">
        <f>SUM(H63:I63)</f>
        <v>1745543</v>
      </c>
      <c r="H63" s="348"/>
      <c r="I63" s="348">
        <f>'BC UBND Huyện 15 hàng tháng'!R79</f>
        <v>1745543</v>
      </c>
      <c r="J63" s="348">
        <f>SUM(K63:L63)</f>
        <v>0</v>
      </c>
      <c r="K63" s="349"/>
      <c r="L63" s="348">
        <f>'BC UBND Huyện 15 hàng tháng'!U79</f>
        <v>0</v>
      </c>
      <c r="M63" s="347"/>
      <c r="N63" s="348">
        <f>AV63*D63/100</f>
        <v>0</v>
      </c>
      <c r="O63" s="468">
        <f>SUM(P63:Q63)</f>
        <v>0</v>
      </c>
      <c r="P63" s="469"/>
      <c r="Q63" s="469"/>
      <c r="R63" s="325"/>
      <c r="S63" s="325"/>
      <c r="T63" s="325"/>
      <c r="U63" s="325"/>
      <c r="V63" s="325"/>
      <c r="W63" s="325"/>
      <c r="X63" s="325"/>
      <c r="Y63" s="325"/>
      <c r="Z63" s="325"/>
      <c r="AA63" s="325"/>
      <c r="AB63" s="325"/>
      <c r="AC63" s="325"/>
      <c r="AD63" s="325"/>
      <c r="AE63" s="325"/>
      <c r="AF63" s="325"/>
      <c r="AG63" s="325"/>
      <c r="AH63" s="325"/>
      <c r="AI63" s="325"/>
      <c r="AJ63" s="15"/>
      <c r="AK63" s="325"/>
      <c r="AL63" s="325"/>
      <c r="AM63" s="325"/>
      <c r="AN63" s="325"/>
      <c r="AO63" s="325"/>
      <c r="AP63" s="15" t="s">
        <v>71</v>
      </c>
      <c r="AQ63" s="355">
        <f>'BC UBND Huyện 15 hàng tháng'!N79</f>
        <v>0</v>
      </c>
      <c r="AR63" s="15" t="str">
        <f>'BC UBND Huyện 15 hàng tháng'!X79</f>
        <v>Đang xét thầu</v>
      </c>
      <c r="AS63" s="15"/>
      <c r="AT63" s="357"/>
      <c r="AU63" s="357"/>
      <c r="AV63" s="13"/>
    </row>
    <row r="64" spans="1:48" s="338" customFormat="1" ht="33" customHeight="1">
      <c r="A64" s="336" t="s">
        <v>23</v>
      </c>
      <c r="B64" s="335" t="s">
        <v>44</v>
      </c>
      <c r="C64" s="337"/>
      <c r="D64" s="358">
        <f>D65+D84</f>
        <v>103710871</v>
      </c>
      <c r="E64" s="358">
        <f t="shared" ref="E64:L64" si="19">E65+E84</f>
        <v>14001131</v>
      </c>
      <c r="F64" s="358">
        <f t="shared" si="19"/>
        <v>1235819</v>
      </c>
      <c r="G64" s="358">
        <f t="shared" si="19"/>
        <v>73642100</v>
      </c>
      <c r="H64" s="358">
        <f t="shared" si="19"/>
        <v>4733919</v>
      </c>
      <c r="I64" s="358">
        <f t="shared" si="19"/>
        <v>68908181</v>
      </c>
      <c r="J64" s="358">
        <f t="shared" si="19"/>
        <v>16201879</v>
      </c>
      <c r="K64" s="358">
        <f t="shared" si="19"/>
        <v>3527270</v>
      </c>
      <c r="L64" s="358">
        <f t="shared" si="19"/>
        <v>12674609</v>
      </c>
      <c r="M64" s="359">
        <f>J64/G64*100</f>
        <v>22.000837835966109</v>
      </c>
      <c r="N64" s="366">
        <f>N65+N84</f>
        <v>30799941.98</v>
      </c>
      <c r="O64" s="467">
        <f>O65+O84</f>
        <v>0</v>
      </c>
      <c r="P64" s="467">
        <f>P65+P84</f>
        <v>0</v>
      </c>
      <c r="Q64" s="467">
        <f>Q65+Q84</f>
        <v>0</v>
      </c>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c r="AQ64" s="336"/>
      <c r="AR64" s="337"/>
      <c r="AS64" s="336"/>
      <c r="AT64" s="336"/>
      <c r="AU64" s="336"/>
      <c r="AV64" s="336"/>
    </row>
    <row r="65" spans="1:48" s="340" customFormat="1" ht="18.75" customHeight="1">
      <c r="A65" s="336" t="s">
        <v>9</v>
      </c>
      <c r="B65" s="327" t="s">
        <v>31</v>
      </c>
      <c r="C65" s="339"/>
      <c r="D65" s="358">
        <f>D66+D74+D78+D80</f>
        <v>39440695</v>
      </c>
      <c r="E65" s="358">
        <f t="shared" ref="E65:L65" si="20">E66+E74+E78+E80</f>
        <v>14001131</v>
      </c>
      <c r="F65" s="358">
        <f t="shared" si="20"/>
        <v>1235819</v>
      </c>
      <c r="G65" s="358">
        <f t="shared" si="20"/>
        <v>15149919</v>
      </c>
      <c r="H65" s="358">
        <f t="shared" si="20"/>
        <v>4733919</v>
      </c>
      <c r="I65" s="358">
        <f t="shared" si="20"/>
        <v>10416000</v>
      </c>
      <c r="J65" s="358">
        <f t="shared" si="20"/>
        <v>8407777</v>
      </c>
      <c r="K65" s="358">
        <f t="shared" si="20"/>
        <v>3527270</v>
      </c>
      <c r="L65" s="358">
        <f t="shared" si="20"/>
        <v>4880507</v>
      </c>
      <c r="M65" s="359">
        <f>J65/G65*100</f>
        <v>55.49717460535598</v>
      </c>
      <c r="N65" s="366">
        <f>N66+N74+N78+N80</f>
        <v>22150487.530000001</v>
      </c>
      <c r="O65" s="467">
        <f>O66+O74+O78+O80</f>
        <v>0</v>
      </c>
      <c r="P65" s="467">
        <f>P66+P74+P78+P80</f>
        <v>0</v>
      </c>
      <c r="Q65" s="467">
        <f>Q66+Q74+Q78+Q80</f>
        <v>0</v>
      </c>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c r="AQ65" s="354"/>
      <c r="AR65" s="339"/>
      <c r="AS65" s="354"/>
      <c r="AT65" s="354"/>
      <c r="AU65" s="354"/>
      <c r="AV65" s="354"/>
    </row>
    <row r="66" spans="1:48" s="338" customFormat="1" ht="33" customHeight="1">
      <c r="A66" s="336" t="s">
        <v>37</v>
      </c>
      <c r="B66" s="335" t="s">
        <v>192</v>
      </c>
      <c r="C66" s="337"/>
      <c r="D66" s="358">
        <f>SUM(D67:D73)</f>
        <v>10182797</v>
      </c>
      <c r="E66" s="358">
        <f t="shared" ref="E66:L66" si="21">SUM(E67:E73)</f>
        <v>3476172</v>
      </c>
      <c r="F66" s="358">
        <f t="shared" si="21"/>
        <v>1235819</v>
      </c>
      <c r="G66" s="358">
        <f t="shared" si="21"/>
        <v>4966762</v>
      </c>
      <c r="H66" s="358">
        <f t="shared" si="21"/>
        <v>2518762</v>
      </c>
      <c r="I66" s="358">
        <f t="shared" si="21"/>
        <v>2448000</v>
      </c>
      <c r="J66" s="358">
        <f t="shared" si="21"/>
        <v>4457720</v>
      </c>
      <c r="K66" s="358">
        <f t="shared" si="21"/>
        <v>2126653</v>
      </c>
      <c r="L66" s="358">
        <f t="shared" si="21"/>
        <v>2331067</v>
      </c>
      <c r="M66" s="359">
        <f>J66/G66*100</f>
        <v>89.751028939981424</v>
      </c>
      <c r="N66" s="366">
        <f>SUM(N67:N73)</f>
        <v>5886606.96</v>
      </c>
      <c r="O66" s="467">
        <f>SUM(O67:O73)</f>
        <v>0</v>
      </c>
      <c r="P66" s="467">
        <f>SUM(P67:P73)</f>
        <v>0</v>
      </c>
      <c r="Q66" s="467">
        <f>SUM(Q67:Q73)</f>
        <v>0</v>
      </c>
      <c r="R66" s="337"/>
      <c r="S66" s="337"/>
      <c r="T66" s="337"/>
      <c r="U66" s="337"/>
      <c r="V66" s="337"/>
      <c r="W66" s="337"/>
      <c r="X66" s="337"/>
      <c r="Y66" s="337"/>
      <c r="Z66" s="337"/>
      <c r="AA66" s="337"/>
      <c r="AB66" s="337"/>
      <c r="AC66" s="337"/>
      <c r="AD66" s="337"/>
      <c r="AE66" s="337"/>
      <c r="AF66" s="337"/>
      <c r="AG66" s="337"/>
      <c r="AH66" s="337"/>
      <c r="AI66" s="337"/>
      <c r="AJ66" s="337"/>
      <c r="AK66" s="337"/>
      <c r="AL66" s="337"/>
      <c r="AM66" s="337"/>
      <c r="AN66" s="337"/>
      <c r="AO66" s="337"/>
      <c r="AP66" s="337"/>
      <c r="AQ66" s="336"/>
      <c r="AR66" s="337"/>
      <c r="AS66" s="336"/>
      <c r="AT66" s="336"/>
      <c r="AU66" s="336"/>
      <c r="AV66" s="336"/>
    </row>
    <row r="67" spans="1:48" s="323" customFormat="1" ht="81.75" customHeight="1">
      <c r="A67" s="8">
        <v>1</v>
      </c>
      <c r="B67" s="9" t="s">
        <v>11</v>
      </c>
      <c r="C67" s="15" t="s">
        <v>423</v>
      </c>
      <c r="D67" s="12">
        <f>'BC UBND Huyện 15 hàng tháng'!E27</f>
        <v>1379201</v>
      </c>
      <c r="E67" s="348">
        <v>707091</v>
      </c>
      <c r="F67" s="348">
        <v>1235819</v>
      </c>
      <c r="G67" s="351">
        <f t="shared" ref="G67:G73" si="22">SUM(H67:I67)</f>
        <v>0</v>
      </c>
      <c r="H67" s="348">
        <f>'BC UBND Huyện 15 hàng tháng'!S27</f>
        <v>0</v>
      </c>
      <c r="I67" s="348">
        <f>'BC UBND Huyện 15 hàng tháng'!R27</f>
        <v>0</v>
      </c>
      <c r="J67" s="348">
        <f t="shared" ref="J67:J73" si="23">SUM(K67:L67)</f>
        <v>0</v>
      </c>
      <c r="K67" s="350"/>
      <c r="L67" s="348">
        <f>'BC UBND Huyện 15 hàng tháng'!U27</f>
        <v>0</v>
      </c>
      <c r="M67" s="347" t="e">
        <f t="shared" ref="M67:M73" si="24">J67/G67*100</f>
        <v>#DIV/0!</v>
      </c>
      <c r="N67" s="348">
        <f>AV67*D67/100-79%*D67</f>
        <v>220672.15999999992</v>
      </c>
      <c r="O67" s="468">
        <f t="shared" ref="O67:O73" si="25">SUM(P67:Q67)</f>
        <v>0</v>
      </c>
      <c r="P67" s="470"/>
      <c r="Q67" s="470"/>
      <c r="R67" s="324"/>
      <c r="S67" s="324"/>
      <c r="T67" s="324"/>
      <c r="U67" s="324"/>
      <c r="V67" s="324"/>
      <c r="W67" s="324"/>
      <c r="X67" s="324"/>
      <c r="Y67" s="324"/>
      <c r="Z67" s="324"/>
      <c r="AA67" s="324"/>
      <c r="AB67" s="324"/>
      <c r="AC67" s="324"/>
      <c r="AD67" s="324"/>
      <c r="AE67" s="324"/>
      <c r="AF67" s="324"/>
      <c r="AG67" s="324"/>
      <c r="AH67" s="324"/>
      <c r="AI67" s="324"/>
      <c r="AJ67" s="324"/>
      <c r="AK67" s="324"/>
      <c r="AL67" s="324"/>
      <c r="AM67" s="324"/>
      <c r="AN67" s="324"/>
      <c r="AO67" s="324"/>
      <c r="AP67" s="324"/>
      <c r="AQ67" s="355" t="str">
        <f>'BC UBND Huyện 15 hàng tháng'!N27</f>
        <v>30/07/2018-27/12/2018</v>
      </c>
      <c r="AR67" s="13" t="str">
        <f>'BC UBND Huyện 15 hàng tháng'!X27</f>
        <v>Đã mời nhà thầu nhiều lần nhưng nhà thầu không đến tham dự</v>
      </c>
      <c r="AS67" s="15" t="s">
        <v>450</v>
      </c>
      <c r="AT67" s="356"/>
      <c r="AU67" s="356"/>
      <c r="AV67" s="15">
        <f>'BC UBND Huyện 15 hàng tháng'!P27</f>
        <v>95</v>
      </c>
    </row>
    <row r="68" spans="1:48" s="322" customFormat="1" ht="94.5" customHeight="1">
      <c r="A68" s="8">
        <v>2</v>
      </c>
      <c r="B68" s="9" t="s">
        <v>103</v>
      </c>
      <c r="C68" s="15" t="s">
        <v>423</v>
      </c>
      <c r="D68" s="12">
        <f>'BC UBND Huyện 15 hàng tháng'!E28</f>
        <v>3273710</v>
      </c>
      <c r="E68" s="348">
        <v>1769081</v>
      </c>
      <c r="F68" s="348"/>
      <c r="G68" s="351">
        <f t="shared" si="22"/>
        <v>883670</v>
      </c>
      <c r="H68" s="348">
        <f>'BC UBND Huyện 15 hàng tháng'!S28</f>
        <v>235670</v>
      </c>
      <c r="I68" s="348">
        <f>'BC UBND Huyện 15 hàng tháng'!R28</f>
        <v>648000</v>
      </c>
      <c r="J68" s="348">
        <f t="shared" si="23"/>
        <v>766737</v>
      </c>
      <c r="K68" s="348">
        <v>235670</v>
      </c>
      <c r="L68" s="348">
        <f>'BC UBND Huyện 15 hàng tháng'!U28-K68</f>
        <v>531067</v>
      </c>
      <c r="M68" s="347">
        <f t="shared" si="24"/>
        <v>86.767345275951442</v>
      </c>
      <c r="N68" s="348">
        <f>AV68*D68/100-72%*D68</f>
        <v>916638.80000000028</v>
      </c>
      <c r="O68" s="468">
        <f t="shared" si="25"/>
        <v>0</v>
      </c>
      <c r="P68" s="469"/>
      <c r="Q68" s="469"/>
      <c r="R68" s="325"/>
      <c r="S68" s="325"/>
      <c r="T68" s="325"/>
      <c r="U68" s="325"/>
      <c r="V68" s="325"/>
      <c r="W68" s="325"/>
      <c r="X68" s="325"/>
      <c r="Y68" s="325"/>
      <c r="Z68" s="325"/>
      <c r="AA68" s="325"/>
      <c r="AB68" s="325"/>
      <c r="AC68" s="325"/>
      <c r="AD68" s="325"/>
      <c r="AE68" s="325"/>
      <c r="AF68" s="325"/>
      <c r="AG68" s="325"/>
      <c r="AH68" s="325"/>
      <c r="AI68" s="325"/>
      <c r="AJ68" s="325"/>
      <c r="AK68" s="325"/>
      <c r="AL68" s="325"/>
      <c r="AM68" s="325"/>
      <c r="AN68" s="325"/>
      <c r="AO68" s="325"/>
      <c r="AP68" s="325"/>
      <c r="AQ68" s="355" t="str">
        <f>'BC UBND Huyện 15 hàng tháng'!N28</f>
        <v>Số 36/2020/HĐ-XD ngày 03/06/2020;  KC-HT: '10/06/2020-06/01/2021</v>
      </c>
      <c r="AR68" s="13" t="str">
        <f>'BC UBND Huyện 15 hàng tháng'!X28</f>
        <v>Hoàn thành</v>
      </c>
      <c r="AS68" s="15"/>
      <c r="AT68" s="357"/>
      <c r="AU68" s="357"/>
      <c r="AV68" s="15">
        <f>'BC UBND Huyện 15 hàng tháng'!P28</f>
        <v>100</v>
      </c>
    </row>
    <row r="69" spans="1:48" s="322" customFormat="1" ht="94.5" customHeight="1">
      <c r="A69" s="8">
        <v>3</v>
      </c>
      <c r="B69" s="9" t="s">
        <v>104</v>
      </c>
      <c r="C69" s="15" t="s">
        <v>423</v>
      </c>
      <c r="D69" s="12">
        <f>'BC UBND Huyện 15 hàng tháng'!E29</f>
        <v>3122360</v>
      </c>
      <c r="E69" s="348">
        <v>1000000</v>
      </c>
      <c r="F69" s="348"/>
      <c r="G69" s="351">
        <f t="shared" si="22"/>
        <v>1855596</v>
      </c>
      <c r="H69" s="348">
        <f>'BC UBND Huyện 15 hàng tháng'!S29</f>
        <v>1155596</v>
      </c>
      <c r="I69" s="348">
        <f>'BC UBND Huyện 15 hàng tháng'!R29</f>
        <v>700000</v>
      </c>
      <c r="J69" s="348">
        <f t="shared" si="23"/>
        <v>1521431</v>
      </c>
      <c r="K69" s="348">
        <f>'BC UBND Huyện 15 hàng tháng'!U29-L69</f>
        <v>821431</v>
      </c>
      <c r="L69" s="348">
        <v>700000</v>
      </c>
      <c r="M69" s="347">
        <f t="shared" si="24"/>
        <v>81.991500305023294</v>
      </c>
      <c r="N69" s="348">
        <f>AV69*D69/100-15%*D69</f>
        <v>2341770</v>
      </c>
      <c r="O69" s="468">
        <f t="shared" si="25"/>
        <v>0</v>
      </c>
      <c r="P69" s="469"/>
      <c r="Q69" s="469"/>
      <c r="R69" s="325"/>
      <c r="S69" s="325"/>
      <c r="T69" s="325"/>
      <c r="U69" s="325"/>
      <c r="V69" s="325"/>
      <c r="W69" s="325"/>
      <c r="X69" s="325"/>
      <c r="Y69" s="325"/>
      <c r="Z69" s="325"/>
      <c r="AA69" s="325"/>
      <c r="AB69" s="325"/>
      <c r="AC69" s="325"/>
      <c r="AD69" s="325"/>
      <c r="AE69" s="325"/>
      <c r="AF69" s="325"/>
      <c r="AG69" s="325"/>
      <c r="AH69" s="325"/>
      <c r="AI69" s="325"/>
      <c r="AJ69" s="325"/>
      <c r="AK69" s="325"/>
      <c r="AL69" s="325"/>
      <c r="AM69" s="325"/>
      <c r="AN69" s="325"/>
      <c r="AO69" s="325"/>
      <c r="AP69" s="325"/>
      <c r="AQ69" s="355" t="str">
        <f>'BC UBND Huyện 15 hàng tháng'!N29</f>
        <v>Số 63/2020/HĐ-XD ngày 17/12/2020;  KC-HT: '24/12/2020-22/06/2021</v>
      </c>
      <c r="AR69" s="13" t="str">
        <f>'BC UBND Huyện 15 hàng tháng'!X29</f>
        <v>Đang thi công nạo vét kênh</v>
      </c>
      <c r="AS69" s="15" t="s">
        <v>451</v>
      </c>
      <c r="AT69" s="357"/>
      <c r="AU69" s="357"/>
      <c r="AV69" s="15">
        <f>'BC UBND Huyện 15 hàng tháng'!P29</f>
        <v>90</v>
      </c>
    </row>
    <row r="70" spans="1:48" s="322" customFormat="1" ht="94.5" customHeight="1">
      <c r="A70" s="8">
        <v>4</v>
      </c>
      <c r="B70" s="9" t="s">
        <v>123</v>
      </c>
      <c r="C70" s="15" t="s">
        <v>423</v>
      </c>
      <c r="D70" s="12">
        <f>'BC UBND Huyện 15 hàng tháng'!E30</f>
        <v>476199</v>
      </c>
      <c r="E70" s="348"/>
      <c r="F70" s="348"/>
      <c r="G70" s="351">
        <f t="shared" si="22"/>
        <v>442861</v>
      </c>
      <c r="H70" s="348">
        <f>'BC UBND Huyện 15 hàng tháng'!S30</f>
        <v>242861</v>
      </c>
      <c r="I70" s="348">
        <f>'BC UBND Huyện 15 hàng tháng'!R30</f>
        <v>200000</v>
      </c>
      <c r="J70" s="348">
        <f t="shared" si="23"/>
        <v>440307</v>
      </c>
      <c r="K70" s="348">
        <f>'BC UBND Huyện 15 hàng tháng'!U30-L70</f>
        <v>240307</v>
      </c>
      <c r="L70" s="348">
        <v>200000</v>
      </c>
      <c r="M70" s="347">
        <f t="shared" si="24"/>
        <v>99.423295345492164</v>
      </c>
      <c r="N70" s="348">
        <f>AV70*D70/100</f>
        <v>476199</v>
      </c>
      <c r="O70" s="468">
        <f t="shared" si="25"/>
        <v>0</v>
      </c>
      <c r="P70" s="469"/>
      <c r="Q70" s="469"/>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25"/>
      <c r="AQ70" s="355" t="str">
        <f>'BC UBND Huyện 15 hàng tháng'!N30</f>
        <v>Số 03/2021/HĐ-XD ngày 17/02/2021;  KC-HT: '22/02/2021-23/05/2021</v>
      </c>
      <c r="AR70" s="13" t="str">
        <f>'BC UBND Huyện 15 hàng tháng'!X30</f>
        <v>Hoàn thành</v>
      </c>
      <c r="AS70" s="357"/>
      <c r="AT70" s="357"/>
      <c r="AU70" s="357"/>
      <c r="AV70" s="15">
        <f>'BC UBND Huyện 15 hàng tháng'!P30</f>
        <v>100</v>
      </c>
    </row>
    <row r="71" spans="1:48" s="322" customFormat="1" ht="94.5" customHeight="1">
      <c r="A71" s="8">
        <v>5</v>
      </c>
      <c r="B71" s="9" t="s">
        <v>124</v>
      </c>
      <c r="C71" s="15" t="s">
        <v>423</v>
      </c>
      <c r="D71" s="12">
        <f>'BC UBND Huyện 15 hàng tháng'!E31</f>
        <v>920370</v>
      </c>
      <c r="E71" s="348"/>
      <c r="F71" s="348"/>
      <c r="G71" s="351">
        <f t="shared" si="22"/>
        <v>863615</v>
      </c>
      <c r="H71" s="348">
        <f>'BC UBND Huyện 15 hàng tháng'!S31</f>
        <v>363615</v>
      </c>
      <c r="I71" s="348">
        <f>'BC UBND Huyện 15 hàng tháng'!R31</f>
        <v>500000</v>
      </c>
      <c r="J71" s="348">
        <f t="shared" si="23"/>
        <v>817631</v>
      </c>
      <c r="K71" s="348">
        <f>'BC UBND Huyện 15 hàng tháng'!U31-L71</f>
        <v>317631</v>
      </c>
      <c r="L71" s="348">
        <v>500000</v>
      </c>
      <c r="M71" s="347">
        <f t="shared" si="24"/>
        <v>94.675405128442648</v>
      </c>
      <c r="N71" s="348">
        <f>AV71*D71/100</f>
        <v>920370</v>
      </c>
      <c r="O71" s="468">
        <f t="shared" si="25"/>
        <v>0</v>
      </c>
      <c r="P71" s="469"/>
      <c r="Q71" s="469"/>
      <c r="R71" s="325"/>
      <c r="S71" s="325"/>
      <c r="T71" s="325"/>
      <c r="U71" s="325"/>
      <c r="V71" s="325"/>
      <c r="W71" s="325"/>
      <c r="X71" s="325"/>
      <c r="Y71" s="325"/>
      <c r="Z71" s="325"/>
      <c r="AA71" s="325"/>
      <c r="AB71" s="325"/>
      <c r="AC71" s="325"/>
      <c r="AD71" s="325"/>
      <c r="AE71" s="325"/>
      <c r="AF71" s="325"/>
      <c r="AG71" s="325"/>
      <c r="AH71" s="325"/>
      <c r="AI71" s="325"/>
      <c r="AJ71" s="325"/>
      <c r="AK71" s="325"/>
      <c r="AL71" s="325"/>
      <c r="AM71" s="325"/>
      <c r="AN71" s="325"/>
      <c r="AO71" s="325"/>
      <c r="AP71" s="325"/>
      <c r="AQ71" s="355" t="str">
        <f>'BC UBND Huyện 15 hàng tháng'!N31</f>
        <v>Số 01/2021/HĐ-XD ngày 13/01/2021;  KC-HT: '20/01/2021-20/05/2021</v>
      </c>
      <c r="AR71" s="13" t="str">
        <f>'BC UBND Huyện 15 hàng tháng'!X31</f>
        <v>Hoàn thành</v>
      </c>
      <c r="AS71" s="15"/>
      <c r="AT71" s="357"/>
      <c r="AU71" s="357"/>
      <c r="AV71" s="15">
        <f>'BC UBND Huyện 15 hàng tháng'!P31</f>
        <v>100</v>
      </c>
    </row>
    <row r="72" spans="1:48" s="322" customFormat="1" ht="94.5" customHeight="1">
      <c r="A72" s="8">
        <v>6</v>
      </c>
      <c r="B72" s="9" t="s">
        <v>153</v>
      </c>
      <c r="C72" s="15" t="s">
        <v>423</v>
      </c>
      <c r="D72" s="12">
        <f>'BC UBND Huyện 15 hàng tháng'!E32</f>
        <v>365689</v>
      </c>
      <c r="E72" s="348"/>
      <c r="F72" s="348"/>
      <c r="G72" s="351">
        <f t="shared" si="22"/>
        <v>341970</v>
      </c>
      <c r="H72" s="348">
        <f>'BC UBND Huyện 15 hàng tháng'!S32</f>
        <v>41970</v>
      </c>
      <c r="I72" s="348">
        <f>'BC UBND Huyện 15 hàng tháng'!R32</f>
        <v>300000</v>
      </c>
      <c r="J72" s="348">
        <f t="shared" si="23"/>
        <v>337861</v>
      </c>
      <c r="K72" s="348">
        <f>'BC UBND Huyện 15 hàng tháng'!U32-L72</f>
        <v>37861</v>
      </c>
      <c r="L72" s="348">
        <v>300000</v>
      </c>
      <c r="M72" s="347">
        <f t="shared" si="24"/>
        <v>98.798432611047744</v>
      </c>
      <c r="N72" s="348">
        <f>AV72*D72/100</f>
        <v>365689</v>
      </c>
      <c r="O72" s="468">
        <f t="shared" si="25"/>
        <v>0</v>
      </c>
      <c r="P72" s="469"/>
      <c r="Q72" s="469"/>
      <c r="R72" s="325"/>
      <c r="S72" s="325"/>
      <c r="T72" s="325"/>
      <c r="U72" s="325"/>
      <c r="V72" s="325"/>
      <c r="W72" s="325"/>
      <c r="X72" s="325"/>
      <c r="Y72" s="325"/>
      <c r="Z72" s="325"/>
      <c r="AA72" s="325"/>
      <c r="AB72" s="325"/>
      <c r="AC72" s="325"/>
      <c r="AD72" s="325"/>
      <c r="AE72" s="325"/>
      <c r="AF72" s="325"/>
      <c r="AG72" s="325"/>
      <c r="AH72" s="325"/>
      <c r="AI72" s="325"/>
      <c r="AJ72" s="325"/>
      <c r="AK72" s="325"/>
      <c r="AL72" s="325"/>
      <c r="AM72" s="325"/>
      <c r="AN72" s="325"/>
      <c r="AO72" s="325"/>
      <c r="AP72" s="325"/>
      <c r="AQ72" s="355" t="str">
        <f>'BC UBND Huyện 15 hàng tháng'!N32</f>
        <v>Số 04/2021/HĐ-XD ngày 17/02/2021;  KC-HT: '22/02/2021-23/05/2021</v>
      </c>
      <c r="AR72" s="13" t="str">
        <f>'BC UBND Huyện 15 hàng tháng'!X32</f>
        <v>Hoàn thành</v>
      </c>
      <c r="AS72" s="15"/>
      <c r="AT72" s="357"/>
      <c r="AU72" s="357"/>
      <c r="AV72" s="15">
        <f>'BC UBND Huyện 15 hàng tháng'!P32</f>
        <v>100</v>
      </c>
    </row>
    <row r="73" spans="1:48" s="322" customFormat="1" ht="94.5" customHeight="1">
      <c r="A73" s="8">
        <v>7</v>
      </c>
      <c r="B73" s="9" t="s">
        <v>154</v>
      </c>
      <c r="C73" s="15" t="s">
        <v>423</v>
      </c>
      <c r="D73" s="12">
        <f>'BC UBND Huyện 15 hàng tháng'!E33</f>
        <v>645268</v>
      </c>
      <c r="E73" s="348"/>
      <c r="F73" s="348"/>
      <c r="G73" s="351">
        <f t="shared" si="22"/>
        <v>579050</v>
      </c>
      <c r="H73" s="348">
        <f>'BC UBND Huyện 15 hàng tháng'!S33</f>
        <v>479050</v>
      </c>
      <c r="I73" s="348">
        <f>'BC UBND Huyện 15 hàng tháng'!R33</f>
        <v>100000</v>
      </c>
      <c r="J73" s="348">
        <f t="shared" si="23"/>
        <v>573753</v>
      </c>
      <c r="K73" s="348">
        <f>'BC UBND Huyện 15 hàng tháng'!U33-L73</f>
        <v>473753</v>
      </c>
      <c r="L73" s="348">
        <v>100000</v>
      </c>
      <c r="M73" s="347">
        <f t="shared" si="24"/>
        <v>99.08522580088075</v>
      </c>
      <c r="N73" s="348">
        <f>AV73*D73/100</f>
        <v>645268</v>
      </c>
      <c r="O73" s="468">
        <f t="shared" si="25"/>
        <v>0</v>
      </c>
      <c r="P73" s="469"/>
      <c r="Q73" s="469"/>
      <c r="R73" s="325"/>
      <c r="S73" s="325"/>
      <c r="T73" s="325"/>
      <c r="U73" s="325"/>
      <c r="V73" s="325"/>
      <c r="W73" s="325"/>
      <c r="X73" s="325"/>
      <c r="Y73" s="325"/>
      <c r="Z73" s="325"/>
      <c r="AA73" s="325"/>
      <c r="AB73" s="325"/>
      <c r="AC73" s="325"/>
      <c r="AD73" s="325"/>
      <c r="AE73" s="325"/>
      <c r="AF73" s="325"/>
      <c r="AG73" s="325"/>
      <c r="AH73" s="325"/>
      <c r="AI73" s="325"/>
      <c r="AJ73" s="325"/>
      <c r="AK73" s="325"/>
      <c r="AL73" s="325"/>
      <c r="AM73" s="325"/>
      <c r="AN73" s="325"/>
      <c r="AO73" s="325"/>
      <c r="AP73" s="325"/>
      <c r="AQ73" s="355" t="str">
        <f>'BC UBND Huyện 15 hàng tháng'!N33</f>
        <v>Số 05/2021/HĐ-XD ngày 17/02/2021;  KC-HT: '22/02/2021-23/06/2021</v>
      </c>
      <c r="AR73" s="13" t="str">
        <f>'BC UBND Huyện 15 hàng tháng'!X33</f>
        <v>Hoàn thành</v>
      </c>
      <c r="AS73" s="15"/>
      <c r="AT73" s="357"/>
      <c r="AU73" s="357"/>
      <c r="AV73" s="15">
        <f>'BC UBND Huyện 15 hàng tháng'!P33</f>
        <v>100</v>
      </c>
    </row>
    <row r="74" spans="1:48" s="340" customFormat="1" ht="30" customHeight="1">
      <c r="A74" s="341" t="s">
        <v>38</v>
      </c>
      <c r="B74" s="342" t="s">
        <v>207</v>
      </c>
      <c r="C74" s="339"/>
      <c r="D74" s="358">
        <f>SUM(D75:D77)</f>
        <v>21787535</v>
      </c>
      <c r="E74" s="358">
        <f t="shared" ref="E74:L74" si="26">SUM(E75:E77)</f>
        <v>6837928</v>
      </c>
      <c r="F74" s="358">
        <f t="shared" si="26"/>
        <v>0</v>
      </c>
      <c r="G74" s="358">
        <f t="shared" si="26"/>
        <v>9133663</v>
      </c>
      <c r="H74" s="358">
        <f t="shared" si="26"/>
        <v>1165663</v>
      </c>
      <c r="I74" s="358">
        <f t="shared" si="26"/>
        <v>7968000</v>
      </c>
      <c r="J74" s="358">
        <f t="shared" si="26"/>
        <v>2908550</v>
      </c>
      <c r="K74" s="358">
        <f t="shared" si="26"/>
        <v>359110</v>
      </c>
      <c r="L74" s="358">
        <f t="shared" si="26"/>
        <v>2549440</v>
      </c>
      <c r="M74" s="359">
        <f t="shared" ref="M74:M85" si="27">J74/G74*100</f>
        <v>31.844288540096127</v>
      </c>
      <c r="N74" s="366">
        <f>SUM(N75:N77)</f>
        <v>12551419.77</v>
      </c>
      <c r="O74" s="467">
        <f>SUM(O75:O77)</f>
        <v>0</v>
      </c>
      <c r="P74" s="467">
        <f>SUM(P75:P77)</f>
        <v>0</v>
      </c>
      <c r="Q74" s="467">
        <f>SUM(Q75:Q77)</f>
        <v>0</v>
      </c>
      <c r="R74" s="339"/>
      <c r="S74" s="339"/>
      <c r="T74" s="339"/>
      <c r="U74" s="339"/>
      <c r="V74" s="339"/>
      <c r="W74" s="339"/>
      <c r="X74" s="339"/>
      <c r="Y74" s="339"/>
      <c r="Z74" s="339"/>
      <c r="AA74" s="339"/>
      <c r="AB74" s="339"/>
      <c r="AC74" s="339"/>
      <c r="AD74" s="339"/>
      <c r="AE74" s="339"/>
      <c r="AF74" s="339"/>
      <c r="AG74" s="339"/>
      <c r="AH74" s="339"/>
      <c r="AI74" s="339"/>
      <c r="AJ74" s="339"/>
      <c r="AK74" s="339"/>
      <c r="AL74" s="339"/>
      <c r="AM74" s="339"/>
      <c r="AN74" s="339"/>
      <c r="AO74" s="339"/>
      <c r="AP74" s="339"/>
      <c r="AQ74" s="354"/>
      <c r="AR74" s="339"/>
      <c r="AS74" s="354"/>
      <c r="AT74" s="354"/>
      <c r="AU74" s="354"/>
      <c r="AV74" s="354"/>
    </row>
    <row r="75" spans="1:48" s="322" customFormat="1" ht="94.5" customHeight="1">
      <c r="A75" s="8">
        <v>8</v>
      </c>
      <c r="B75" s="9" t="s">
        <v>105</v>
      </c>
      <c r="C75" s="15" t="s">
        <v>424</v>
      </c>
      <c r="D75" s="12">
        <f>'BC UBND Huyện 15 hàng tháng'!E35</f>
        <v>10580320</v>
      </c>
      <c r="E75" s="348">
        <v>4531570</v>
      </c>
      <c r="F75" s="348"/>
      <c r="G75" s="351">
        <f>SUM(H75:I75)</f>
        <v>2968000</v>
      </c>
      <c r="H75" s="348">
        <f>'BC UBND Huyện 15 hàng tháng'!S35</f>
        <v>0</v>
      </c>
      <c r="I75" s="348">
        <f>'BC UBND Huyện 15 hàng tháng'!R35</f>
        <v>2968000</v>
      </c>
      <c r="J75" s="348">
        <f>SUM(K75:L75)</f>
        <v>1549440</v>
      </c>
      <c r="K75" s="349"/>
      <c r="L75" s="348">
        <f>'BC UBND Huyện 15 hàng tháng'!U35</f>
        <v>1549440</v>
      </c>
      <c r="M75" s="347">
        <f t="shared" si="27"/>
        <v>52.204851752021561</v>
      </c>
      <c r="N75" s="348">
        <f>AV75*D75/100-30%*D75</f>
        <v>6877208</v>
      </c>
      <c r="O75" s="468">
        <f>SUM(P75:Q75)</f>
        <v>0</v>
      </c>
      <c r="P75" s="469"/>
      <c r="Q75" s="469"/>
      <c r="R75" s="325"/>
      <c r="S75" s="325"/>
      <c r="T75" s="325"/>
      <c r="U75" s="325"/>
      <c r="V75" s="325"/>
      <c r="W75" s="325"/>
      <c r="X75" s="325"/>
      <c r="Y75" s="325"/>
      <c r="Z75" s="325"/>
      <c r="AA75" s="325"/>
      <c r="AB75" s="325"/>
      <c r="AC75" s="325"/>
      <c r="AD75" s="325"/>
      <c r="AE75" s="325"/>
      <c r="AF75" s="325"/>
      <c r="AG75" s="325"/>
      <c r="AH75" s="325"/>
      <c r="AI75" s="325"/>
      <c r="AJ75" s="325"/>
      <c r="AK75" s="325"/>
      <c r="AL75" s="325"/>
      <c r="AM75" s="325"/>
      <c r="AN75" s="325"/>
      <c r="AO75" s="325"/>
      <c r="AP75" s="325"/>
      <c r="AQ75" s="355" t="str">
        <f>'BC UBND Huyện 15 hàng tháng'!N35</f>
        <v>Số 37/2020/HĐ-XD ngày 05/06/2020;  KC-HT: '12/06/2020-07/06/2021</v>
      </c>
      <c r="AR75" s="13" t="str">
        <f>'BC UBND Huyện 15 hàng tháng'!X35</f>
        <v>Đang đắp lề đường</v>
      </c>
      <c r="AS75" s="15" t="s">
        <v>495</v>
      </c>
      <c r="AT75" s="357"/>
      <c r="AU75" s="357"/>
      <c r="AV75" s="15">
        <f>'BC UBND Huyện 15 hàng tháng'!P35</f>
        <v>95</v>
      </c>
    </row>
    <row r="76" spans="1:48" s="322" customFormat="1" ht="94.5" customHeight="1">
      <c r="A76" s="8">
        <v>9</v>
      </c>
      <c r="B76" s="9" t="s">
        <v>106</v>
      </c>
      <c r="C76" s="15" t="s">
        <v>424</v>
      </c>
      <c r="D76" s="12">
        <f>'BC UBND Huyện 15 hàng tháng'!E36</f>
        <v>7715191</v>
      </c>
      <c r="E76" s="348">
        <v>1069413</v>
      </c>
      <c r="F76" s="348"/>
      <c r="G76" s="351">
        <f>SUM(H76:I76)</f>
        <v>4600352</v>
      </c>
      <c r="H76" s="348">
        <f>'BC UBND Huyện 15 hàng tháng'!S36</f>
        <v>600352</v>
      </c>
      <c r="I76" s="348">
        <f>'BC UBND Huyện 15 hàng tháng'!R36</f>
        <v>4000000</v>
      </c>
      <c r="J76" s="348">
        <f>SUM(K76:L76)</f>
        <v>137716</v>
      </c>
      <c r="K76" s="348">
        <f>'BC UBND Huyện 15 hàng tháng'!U36</f>
        <v>137716</v>
      </c>
      <c r="L76" s="348"/>
      <c r="M76" s="347">
        <f t="shared" si="27"/>
        <v>2.9935970117069299</v>
      </c>
      <c r="N76" s="348">
        <f>AV76*D76/100-14%*D76</f>
        <v>2391709.21</v>
      </c>
      <c r="O76" s="468">
        <f>SUM(P76:Q76)</f>
        <v>0</v>
      </c>
      <c r="P76" s="469"/>
      <c r="Q76" s="469"/>
      <c r="R76" s="325"/>
      <c r="S76" s="325"/>
      <c r="T76" s="325"/>
      <c r="U76" s="325"/>
      <c r="V76" s="325"/>
      <c r="W76" s="325"/>
      <c r="X76" s="325"/>
      <c r="Y76" s="325"/>
      <c r="Z76" s="325"/>
      <c r="AA76" s="325"/>
      <c r="AB76" s="325"/>
      <c r="AC76" s="325"/>
      <c r="AD76" s="325"/>
      <c r="AE76" s="325"/>
      <c r="AF76" s="325"/>
      <c r="AG76" s="325"/>
      <c r="AH76" s="325"/>
      <c r="AI76" s="325"/>
      <c r="AJ76" s="325"/>
      <c r="AK76" s="325"/>
      <c r="AL76" s="325"/>
      <c r="AM76" s="325"/>
      <c r="AN76" s="325"/>
      <c r="AO76" s="325"/>
      <c r="AP76" s="325"/>
      <c r="AQ76" s="355" t="str">
        <f>'BC UBND Huyện 15 hàng tháng'!N36</f>
        <v>Số 34/2020/HĐ-XD ngày 20/05/2020;  KC-HT: '27/05/2020-21/02/2021</v>
      </c>
      <c r="AR76" s="13" t="str">
        <f>'BC UBND Huyện 15 hàng tháng'!X36</f>
        <v>Hoàn thành lớp đá 0x4 lớp 1 khoảng 2,7km/3,8km</v>
      </c>
      <c r="AS76" s="13" t="s">
        <v>452</v>
      </c>
      <c r="AT76" s="15" t="s">
        <v>453</v>
      </c>
      <c r="AU76" s="357"/>
      <c r="AV76" s="15">
        <f>'BC UBND Huyện 15 hàng tháng'!P36</f>
        <v>45</v>
      </c>
    </row>
    <row r="77" spans="1:48" s="322" customFormat="1" ht="108.75" customHeight="1">
      <c r="A77" s="8">
        <v>10</v>
      </c>
      <c r="B77" s="9" t="s">
        <v>125</v>
      </c>
      <c r="C77" s="15" t="s">
        <v>424</v>
      </c>
      <c r="D77" s="12">
        <f>'BC UBND Huyện 15 hàng tháng'!E37</f>
        <v>3492024</v>
      </c>
      <c r="E77" s="348">
        <v>1236945</v>
      </c>
      <c r="F77" s="348"/>
      <c r="G77" s="351">
        <f>SUM(H77:I77)</f>
        <v>1565311</v>
      </c>
      <c r="H77" s="348">
        <f>'BC UBND Huyện 15 hàng tháng'!S37</f>
        <v>565311</v>
      </c>
      <c r="I77" s="348">
        <f>'BC UBND Huyện 15 hàng tháng'!R37</f>
        <v>1000000</v>
      </c>
      <c r="J77" s="348">
        <f>SUM(K77:L77)</f>
        <v>1221394</v>
      </c>
      <c r="K77" s="348">
        <f>'BC UBND Huyện 15 hàng tháng'!U37-L77</f>
        <v>221394</v>
      </c>
      <c r="L77" s="348">
        <v>1000000</v>
      </c>
      <c r="M77" s="347">
        <f t="shared" si="27"/>
        <v>78.028838997489956</v>
      </c>
      <c r="N77" s="348">
        <f>AV77*D77/100-1%*D77</f>
        <v>3282502.5599999996</v>
      </c>
      <c r="O77" s="468">
        <f>SUM(P77:Q77)</f>
        <v>0</v>
      </c>
      <c r="P77" s="469"/>
      <c r="Q77" s="469"/>
      <c r="R77" s="325"/>
      <c r="S77" s="325"/>
      <c r="T77" s="325"/>
      <c r="U77" s="325"/>
      <c r="V77" s="325"/>
      <c r="W77" s="325"/>
      <c r="X77" s="325"/>
      <c r="Y77" s="325"/>
      <c r="Z77" s="325"/>
      <c r="AA77" s="325"/>
      <c r="AB77" s="325"/>
      <c r="AC77" s="325"/>
      <c r="AD77" s="325"/>
      <c r="AE77" s="325"/>
      <c r="AF77" s="325"/>
      <c r="AG77" s="325"/>
      <c r="AH77" s="325"/>
      <c r="AI77" s="325"/>
      <c r="AJ77" s="325"/>
      <c r="AK77" s="325"/>
      <c r="AL77" s="325"/>
      <c r="AM77" s="325"/>
      <c r="AN77" s="325"/>
      <c r="AO77" s="325"/>
      <c r="AP77" s="325"/>
      <c r="AQ77" s="355" t="str">
        <f>'BC UBND Huyện 15 hàng tháng'!N37</f>
        <v>Số 65/2020/HĐ-XD ngày 29/12/2020;  KC-HT: '29/12/2020-27/06/2021</v>
      </c>
      <c r="AR77" s="13" t="str">
        <f>'BC UBND Huyện 15 hàng tháng'!X37</f>
        <v>Đã tưới nhựa 2km/2,18km; còn lại 180m vướng mặt bằng chờ UBND xã làm việc với chủ hầm cá</v>
      </c>
      <c r="AS77" s="13" t="s">
        <v>454</v>
      </c>
      <c r="AT77" s="15" t="s">
        <v>567</v>
      </c>
      <c r="AU77" s="15" t="s">
        <v>496</v>
      </c>
      <c r="AV77" s="15">
        <f>'BC UBND Huyện 15 hàng tháng'!P37</f>
        <v>95</v>
      </c>
    </row>
    <row r="78" spans="1:48" s="340" customFormat="1" ht="45.75" customHeight="1">
      <c r="A78" s="341" t="s">
        <v>108</v>
      </c>
      <c r="B78" s="342" t="s">
        <v>251</v>
      </c>
      <c r="C78" s="339"/>
      <c r="D78" s="358">
        <f>D79</f>
        <v>4453239</v>
      </c>
      <c r="E78" s="358">
        <f t="shared" ref="E78:L78" si="28">E79</f>
        <v>2058883</v>
      </c>
      <c r="F78" s="358">
        <f t="shared" si="28"/>
        <v>0</v>
      </c>
      <c r="G78" s="358">
        <f t="shared" si="28"/>
        <v>0</v>
      </c>
      <c r="H78" s="358">
        <f t="shared" si="28"/>
        <v>0</v>
      </c>
      <c r="I78" s="358">
        <f t="shared" si="28"/>
        <v>0</v>
      </c>
      <c r="J78" s="358">
        <f t="shared" si="28"/>
        <v>0</v>
      </c>
      <c r="K78" s="358">
        <f t="shared" si="28"/>
        <v>0</v>
      </c>
      <c r="L78" s="358">
        <f t="shared" si="28"/>
        <v>0</v>
      </c>
      <c r="M78" s="359" t="e">
        <f t="shared" si="27"/>
        <v>#DIV/0!</v>
      </c>
      <c r="N78" s="366">
        <f>N79</f>
        <v>1781295.6</v>
      </c>
      <c r="O78" s="467">
        <f>O79</f>
        <v>0</v>
      </c>
      <c r="P78" s="467">
        <f>P79</f>
        <v>0</v>
      </c>
      <c r="Q78" s="467">
        <f>Q79</f>
        <v>0</v>
      </c>
      <c r="R78" s="339"/>
      <c r="S78" s="339"/>
      <c r="T78" s="339"/>
      <c r="U78" s="339"/>
      <c r="V78" s="339"/>
      <c r="W78" s="339"/>
      <c r="X78" s="339"/>
      <c r="Y78" s="339"/>
      <c r="Z78" s="339"/>
      <c r="AA78" s="339"/>
      <c r="AB78" s="339"/>
      <c r="AC78" s="339"/>
      <c r="AD78" s="339"/>
      <c r="AE78" s="339"/>
      <c r="AF78" s="339"/>
      <c r="AG78" s="339"/>
      <c r="AH78" s="339"/>
      <c r="AI78" s="339"/>
      <c r="AJ78" s="339"/>
      <c r="AK78" s="339"/>
      <c r="AL78" s="339"/>
      <c r="AM78" s="339"/>
      <c r="AN78" s="339"/>
      <c r="AO78" s="339"/>
      <c r="AP78" s="339"/>
      <c r="AQ78" s="354"/>
      <c r="AR78" s="339"/>
      <c r="AS78" s="354"/>
      <c r="AT78" s="354"/>
      <c r="AU78" s="354"/>
      <c r="AV78" s="354"/>
    </row>
    <row r="79" spans="1:48" s="322" customFormat="1" ht="111" customHeight="1">
      <c r="A79" s="8">
        <v>11</v>
      </c>
      <c r="B79" s="9" t="s">
        <v>76</v>
      </c>
      <c r="C79" s="15" t="s">
        <v>425</v>
      </c>
      <c r="D79" s="12">
        <f>'BC UBND Huyện 15 hàng tháng'!E39</f>
        <v>4453239</v>
      </c>
      <c r="E79" s="348">
        <v>2058883</v>
      </c>
      <c r="F79" s="348"/>
      <c r="G79" s="351">
        <f>SUM(H79:I79)</f>
        <v>0</v>
      </c>
      <c r="H79" s="348"/>
      <c r="I79" s="348">
        <f>'BC UBND Huyện 15 hàng tháng'!R39</f>
        <v>0</v>
      </c>
      <c r="J79" s="348">
        <f>SUM(K79:L79)</f>
        <v>0</v>
      </c>
      <c r="K79" s="349"/>
      <c r="L79" s="348">
        <f>'BC UBND Huyện 15 hàng tháng'!U39</f>
        <v>0</v>
      </c>
      <c r="M79" s="347" t="e">
        <f t="shared" si="27"/>
        <v>#DIV/0!</v>
      </c>
      <c r="N79" s="348">
        <f>AV79*D79/100-60%*D79</f>
        <v>1781295.6</v>
      </c>
      <c r="O79" s="468">
        <f>SUM(P79:Q79)</f>
        <v>0</v>
      </c>
      <c r="P79" s="469"/>
      <c r="Q79" s="469"/>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c r="AQ79" s="355" t="str">
        <f>'BC UBND Huyện 15 hàng tháng'!N39</f>
        <v>04/03/2019-01/08/2019; PKHĐ: 30/07/2021</v>
      </c>
      <c r="AR79" s="13" t="str">
        <f>'BC UBND Huyện 15 hàng tháng'!X39</f>
        <v>Hoàn thành</v>
      </c>
      <c r="AS79" s="15"/>
      <c r="AT79" s="15"/>
      <c r="AU79" s="357"/>
      <c r="AV79" s="15">
        <f>'BC UBND Huyện 15 hàng tháng'!P39</f>
        <v>100</v>
      </c>
    </row>
    <row r="80" spans="1:48" s="340" customFormat="1" ht="59.25" customHeight="1">
      <c r="A80" s="341" t="s">
        <v>418</v>
      </c>
      <c r="B80" s="342" t="s">
        <v>531</v>
      </c>
      <c r="C80" s="339"/>
      <c r="D80" s="358">
        <f>SUM(D81:D83)</f>
        <v>3017124</v>
      </c>
      <c r="E80" s="358">
        <f t="shared" ref="E80:L80" si="29">SUM(E81:E83)</f>
        <v>1628148</v>
      </c>
      <c r="F80" s="358">
        <f t="shared" si="29"/>
        <v>0</v>
      </c>
      <c r="G80" s="358">
        <f t="shared" si="29"/>
        <v>1049494</v>
      </c>
      <c r="H80" s="358">
        <f t="shared" si="29"/>
        <v>1049494</v>
      </c>
      <c r="I80" s="358">
        <f t="shared" si="29"/>
        <v>0</v>
      </c>
      <c r="J80" s="358">
        <f t="shared" si="29"/>
        <v>1041507</v>
      </c>
      <c r="K80" s="358">
        <f t="shared" si="29"/>
        <v>1041507</v>
      </c>
      <c r="L80" s="358">
        <f t="shared" si="29"/>
        <v>0</v>
      </c>
      <c r="M80" s="359">
        <f t="shared" si="27"/>
        <v>99.238966587707978</v>
      </c>
      <c r="N80" s="366">
        <f>SUM(N81:N83)</f>
        <v>1931165.2</v>
      </c>
      <c r="O80" s="467">
        <f>SUM(O81:O83)</f>
        <v>0</v>
      </c>
      <c r="P80" s="467">
        <f>SUM(P81:P83)</f>
        <v>0</v>
      </c>
      <c r="Q80" s="467">
        <f>SUM(Q81:Q83)</f>
        <v>0</v>
      </c>
      <c r="R80" s="339"/>
      <c r="S80" s="339"/>
      <c r="T80" s="339"/>
      <c r="U80" s="339"/>
      <c r="V80" s="339"/>
      <c r="W80" s="339"/>
      <c r="X80" s="339"/>
      <c r="Y80" s="339"/>
      <c r="Z80" s="339"/>
      <c r="AA80" s="339"/>
      <c r="AB80" s="339"/>
      <c r="AC80" s="339"/>
      <c r="AD80" s="339"/>
      <c r="AE80" s="339"/>
      <c r="AF80" s="339"/>
      <c r="AG80" s="339"/>
      <c r="AH80" s="339"/>
      <c r="AI80" s="339"/>
      <c r="AJ80" s="339"/>
      <c r="AK80" s="339"/>
      <c r="AL80" s="339"/>
      <c r="AM80" s="339"/>
      <c r="AN80" s="339"/>
      <c r="AO80" s="339"/>
      <c r="AP80" s="339"/>
      <c r="AQ80" s="354"/>
      <c r="AR80" s="339"/>
      <c r="AS80" s="354"/>
      <c r="AT80" s="354"/>
      <c r="AU80" s="354"/>
      <c r="AV80" s="354"/>
    </row>
    <row r="81" spans="1:48" s="322" customFormat="1" ht="94.5" customHeight="1">
      <c r="A81" s="8">
        <v>12</v>
      </c>
      <c r="B81" s="9" t="s">
        <v>121</v>
      </c>
      <c r="C81" s="15" t="s">
        <v>426</v>
      </c>
      <c r="D81" s="12">
        <f>'BC UBND Huyện 15 hàng tháng'!E41</f>
        <v>1200568</v>
      </c>
      <c r="E81" s="348">
        <v>528873</v>
      </c>
      <c r="F81" s="348"/>
      <c r="G81" s="351">
        <f>SUM(H81:I81)</f>
        <v>515483</v>
      </c>
      <c r="H81" s="348">
        <f>'BC UBND Huyện 15 hàng tháng'!S41</f>
        <v>515483</v>
      </c>
      <c r="I81" s="348">
        <f>'BC UBND Huyện 15 hàng tháng'!R41</f>
        <v>0</v>
      </c>
      <c r="J81" s="348">
        <f>SUM(K81:L81)</f>
        <v>515482</v>
      </c>
      <c r="K81" s="348">
        <f>'BC UBND Huyện 15 hàng tháng'!U41</f>
        <v>515482</v>
      </c>
      <c r="L81" s="348"/>
      <c r="M81" s="347">
        <f t="shared" si="27"/>
        <v>99.999806007181618</v>
      </c>
      <c r="N81" s="348">
        <f>AV81*D81/100-10%*D81</f>
        <v>1080511.2</v>
      </c>
      <c r="O81" s="468">
        <f>SUM(P81:Q81)</f>
        <v>0</v>
      </c>
      <c r="P81" s="469"/>
      <c r="Q81" s="469"/>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355" t="str">
        <f>'BC UBND Huyện 15 hàng tháng'!N41</f>
        <v>Số 56/2020/HĐ-XD ngày 30/09/2020;  KC-HT: '02/10/2020-31/12/2020</v>
      </c>
      <c r="AR81" s="13" t="str">
        <f>'BC UBND Huyện 15 hàng tháng'!X41</f>
        <v>Hoàn thành</v>
      </c>
      <c r="AS81" s="15"/>
      <c r="AT81" s="15"/>
      <c r="AU81" s="357"/>
      <c r="AV81" s="15">
        <f>'BC UBND Huyện 15 hàng tháng'!P41</f>
        <v>100</v>
      </c>
    </row>
    <row r="82" spans="1:48" s="322" customFormat="1" ht="94.5" customHeight="1">
      <c r="A82" s="8">
        <v>13</v>
      </c>
      <c r="B82" s="9" t="s">
        <v>122</v>
      </c>
      <c r="C82" s="15" t="s">
        <v>426</v>
      </c>
      <c r="D82" s="12">
        <f>'BC UBND Huyện 15 hàng tháng'!E42</f>
        <v>1202672</v>
      </c>
      <c r="E82" s="348">
        <v>780710</v>
      </c>
      <c r="F82" s="348"/>
      <c r="G82" s="351">
        <f>SUM(H82:I82)</f>
        <v>280627</v>
      </c>
      <c r="H82" s="348">
        <f>'BC UBND Huyện 15 hàng tháng'!S42</f>
        <v>280627</v>
      </c>
      <c r="I82" s="348">
        <f>'BC UBND Huyện 15 hàng tháng'!R42</f>
        <v>0</v>
      </c>
      <c r="J82" s="348">
        <f>SUM(K82:L82)</f>
        <v>275935</v>
      </c>
      <c r="K82" s="348">
        <f>'BC UBND Huyện 15 hàng tháng'!U42</f>
        <v>275935</v>
      </c>
      <c r="L82" s="348"/>
      <c r="M82" s="347">
        <f t="shared" si="27"/>
        <v>98.328029733418376</v>
      </c>
      <c r="N82" s="348">
        <f>AV82*D82/100-65%*D82</f>
        <v>420935.19999999995</v>
      </c>
      <c r="O82" s="468">
        <f>SUM(P82:Q82)</f>
        <v>0</v>
      </c>
      <c r="P82" s="469"/>
      <c r="Q82" s="469"/>
      <c r="R82" s="325"/>
      <c r="S82" s="325"/>
      <c r="T82" s="325"/>
      <c r="U82" s="325"/>
      <c r="V82" s="325"/>
      <c r="W82" s="325"/>
      <c r="X82" s="325"/>
      <c r="Y82" s="325"/>
      <c r="Z82" s="325"/>
      <c r="AA82" s="325"/>
      <c r="AB82" s="325"/>
      <c r="AC82" s="325"/>
      <c r="AD82" s="325"/>
      <c r="AE82" s="325"/>
      <c r="AF82" s="325"/>
      <c r="AG82" s="325"/>
      <c r="AH82" s="325"/>
      <c r="AI82" s="325"/>
      <c r="AJ82" s="325"/>
      <c r="AK82" s="325"/>
      <c r="AL82" s="325"/>
      <c r="AM82" s="325"/>
      <c r="AN82" s="325"/>
      <c r="AO82" s="325"/>
      <c r="AP82" s="325"/>
      <c r="AQ82" s="355" t="str">
        <f>'BC UBND Huyện 15 hàng tháng'!N42</f>
        <v>Số 58/2020/HĐ-XD ngày 05/10/2020;  KC-HT: '12/10/2020-10/01/2021</v>
      </c>
      <c r="AR82" s="13" t="str">
        <f>'BC UBND Huyện 15 hàng tháng'!X42</f>
        <v>Hoàn thành</v>
      </c>
      <c r="AS82" s="357"/>
      <c r="AT82" s="357"/>
      <c r="AU82" s="357"/>
      <c r="AV82" s="15">
        <f>'BC UBND Huyện 15 hàng tháng'!P42</f>
        <v>100</v>
      </c>
    </row>
    <row r="83" spans="1:48" s="322" customFormat="1" ht="94.5" customHeight="1">
      <c r="A83" s="8">
        <v>14</v>
      </c>
      <c r="B83" s="9" t="s">
        <v>127</v>
      </c>
      <c r="C83" s="15" t="s">
        <v>426</v>
      </c>
      <c r="D83" s="12">
        <f>'BC UBND Huyện 15 hàng tháng'!E43</f>
        <v>613884</v>
      </c>
      <c r="E83" s="348">
        <v>318565</v>
      </c>
      <c r="F83" s="348"/>
      <c r="G83" s="351">
        <f>SUM(H83:I83)</f>
        <v>253384</v>
      </c>
      <c r="H83" s="348">
        <f>'BC UBND Huyện 15 hàng tháng'!S43</f>
        <v>253384</v>
      </c>
      <c r="I83" s="348">
        <f>'BC UBND Huyện 15 hàng tháng'!R43</f>
        <v>0</v>
      </c>
      <c r="J83" s="348">
        <f>SUM(K83:L83)</f>
        <v>250090</v>
      </c>
      <c r="K83" s="348">
        <f>'BC UBND Huyện 15 hàng tháng'!U43</f>
        <v>250090</v>
      </c>
      <c r="L83" s="348"/>
      <c r="M83" s="347">
        <f t="shared" si="27"/>
        <v>98.699996842736709</v>
      </c>
      <c r="N83" s="348">
        <f>AV83*D83/100-30%*D83</f>
        <v>429718.80000000005</v>
      </c>
      <c r="O83" s="468">
        <f>SUM(P83:Q83)</f>
        <v>0</v>
      </c>
      <c r="P83" s="469"/>
      <c r="Q83" s="469"/>
      <c r="R83" s="325"/>
      <c r="S83" s="325"/>
      <c r="T83" s="325"/>
      <c r="U83" s="325"/>
      <c r="V83" s="325"/>
      <c r="W83" s="325"/>
      <c r="X83" s="325"/>
      <c r="Y83" s="325"/>
      <c r="Z83" s="325"/>
      <c r="AA83" s="325"/>
      <c r="AB83" s="325"/>
      <c r="AC83" s="325"/>
      <c r="AD83" s="325"/>
      <c r="AE83" s="325"/>
      <c r="AF83" s="325"/>
      <c r="AG83" s="325"/>
      <c r="AH83" s="325"/>
      <c r="AI83" s="325"/>
      <c r="AJ83" s="325"/>
      <c r="AK83" s="325"/>
      <c r="AL83" s="325"/>
      <c r="AM83" s="325"/>
      <c r="AN83" s="325"/>
      <c r="AO83" s="325"/>
      <c r="AP83" s="325"/>
      <c r="AQ83" s="355" t="str">
        <f>'BC UBND Huyện 15 hàng tháng'!N43</f>
        <v>Số 66/2020/HĐ-XD ngày 31/12/2020;  KC-HT: '31/12/2020-30/04/2021</v>
      </c>
      <c r="AR83" s="13" t="str">
        <f>'BC UBND Huyện 15 hàng tháng'!X43</f>
        <v>Hoàn thành</v>
      </c>
      <c r="AS83" s="357"/>
      <c r="AT83" s="357"/>
      <c r="AU83" s="357"/>
      <c r="AV83" s="15">
        <f>'BC UBND Huyện 15 hàng tháng'!P43</f>
        <v>100</v>
      </c>
    </row>
    <row r="84" spans="1:48" s="340" customFormat="1" ht="31.5" customHeight="1">
      <c r="A84" s="328" t="s">
        <v>10</v>
      </c>
      <c r="B84" s="329" t="s">
        <v>221</v>
      </c>
      <c r="C84" s="339"/>
      <c r="D84" s="366">
        <f>D85+D99+D104+D111+D127+D132+D140</f>
        <v>64270176</v>
      </c>
      <c r="E84" s="366">
        <f t="shared" ref="E84:L84" si="30">E85+E99+E104+E111+E127+E132+E140</f>
        <v>0</v>
      </c>
      <c r="F84" s="366">
        <f t="shared" si="30"/>
        <v>0</v>
      </c>
      <c r="G84" s="366">
        <f t="shared" si="30"/>
        <v>58492181</v>
      </c>
      <c r="H84" s="366">
        <f t="shared" si="30"/>
        <v>0</v>
      </c>
      <c r="I84" s="366">
        <f t="shared" si="30"/>
        <v>58492181</v>
      </c>
      <c r="J84" s="366">
        <f t="shared" si="30"/>
        <v>7794102</v>
      </c>
      <c r="K84" s="366">
        <f t="shared" si="30"/>
        <v>0</v>
      </c>
      <c r="L84" s="366">
        <f t="shared" si="30"/>
        <v>7794102</v>
      </c>
      <c r="M84" s="359">
        <f t="shared" si="27"/>
        <v>13.325032280810319</v>
      </c>
      <c r="N84" s="358">
        <f>N85+N99+N104+N111+N127+N132+N140</f>
        <v>8649454.4499999993</v>
      </c>
      <c r="O84" s="467">
        <f>O85+O99+O104+O111+O127+O132+O140</f>
        <v>0</v>
      </c>
      <c r="P84" s="467">
        <f>P85+P99+P104+P111+P127+P132+P140</f>
        <v>0</v>
      </c>
      <c r="Q84" s="467">
        <f>Q85+Q99+Q104+Q111+Q127+Q132+Q140</f>
        <v>0</v>
      </c>
      <c r="R84" s="339"/>
      <c r="S84" s="339"/>
      <c r="T84" s="339"/>
      <c r="U84" s="339"/>
      <c r="V84" s="339"/>
      <c r="W84" s="339"/>
      <c r="X84" s="339"/>
      <c r="Y84" s="339"/>
      <c r="Z84" s="339"/>
      <c r="AA84" s="339"/>
      <c r="AB84" s="339"/>
      <c r="AC84" s="339"/>
      <c r="AD84" s="339"/>
      <c r="AE84" s="339"/>
      <c r="AF84" s="339"/>
      <c r="AG84" s="339"/>
      <c r="AH84" s="339"/>
      <c r="AI84" s="339"/>
      <c r="AJ84" s="339"/>
      <c r="AK84" s="339"/>
      <c r="AL84" s="339"/>
      <c r="AM84" s="339"/>
      <c r="AN84" s="339"/>
      <c r="AO84" s="339"/>
      <c r="AP84" s="339"/>
      <c r="AQ84" s="354"/>
      <c r="AR84" s="339"/>
      <c r="AS84" s="354"/>
      <c r="AT84" s="354"/>
      <c r="AU84" s="354"/>
      <c r="AV84" s="354"/>
    </row>
    <row r="85" spans="1:48" s="340" customFormat="1" ht="31.5" customHeight="1">
      <c r="A85" s="328" t="s">
        <v>39</v>
      </c>
      <c r="B85" s="329" t="s">
        <v>173</v>
      </c>
      <c r="C85" s="339"/>
      <c r="D85" s="366">
        <f>SUM(D86:D98)</f>
        <v>13384241</v>
      </c>
      <c r="E85" s="366">
        <f t="shared" ref="E85:L85" si="31">SUM(E86:E98)</f>
        <v>0</v>
      </c>
      <c r="F85" s="366">
        <f t="shared" si="31"/>
        <v>0</v>
      </c>
      <c r="G85" s="366">
        <f t="shared" si="31"/>
        <v>14462000</v>
      </c>
      <c r="H85" s="366">
        <f t="shared" si="31"/>
        <v>0</v>
      </c>
      <c r="I85" s="366">
        <f t="shared" si="31"/>
        <v>14462000</v>
      </c>
      <c r="J85" s="366">
        <f t="shared" si="31"/>
        <v>2276404</v>
      </c>
      <c r="K85" s="366">
        <f t="shared" si="31"/>
        <v>0</v>
      </c>
      <c r="L85" s="366">
        <f t="shared" si="31"/>
        <v>2276404</v>
      </c>
      <c r="M85" s="359">
        <f t="shared" si="27"/>
        <v>15.740589130134145</v>
      </c>
      <c r="N85" s="373">
        <f>SUM(N86:N98)</f>
        <v>3106968.25</v>
      </c>
      <c r="O85" s="467">
        <f>SUM(O86:O98)</f>
        <v>0</v>
      </c>
      <c r="P85" s="467">
        <f>SUM(P86:P98)</f>
        <v>0</v>
      </c>
      <c r="Q85" s="467">
        <f>SUM(Q86:Q98)</f>
        <v>0</v>
      </c>
      <c r="R85" s="339"/>
      <c r="S85" s="339"/>
      <c r="T85" s="339"/>
      <c r="U85" s="339"/>
      <c r="V85" s="339"/>
      <c r="W85" s="339"/>
      <c r="X85" s="339"/>
      <c r="Y85" s="339"/>
      <c r="Z85" s="339"/>
      <c r="AA85" s="339"/>
      <c r="AB85" s="339"/>
      <c r="AC85" s="339"/>
      <c r="AD85" s="339"/>
      <c r="AE85" s="339"/>
      <c r="AF85" s="339"/>
      <c r="AG85" s="339"/>
      <c r="AH85" s="339"/>
      <c r="AI85" s="339"/>
      <c r="AJ85" s="339"/>
      <c r="AK85" s="339"/>
      <c r="AL85" s="339"/>
      <c r="AM85" s="339"/>
      <c r="AN85" s="339"/>
      <c r="AO85" s="339"/>
      <c r="AP85" s="339"/>
      <c r="AQ85" s="354"/>
      <c r="AR85" s="339"/>
      <c r="AS85" s="354"/>
      <c r="AT85" s="354"/>
      <c r="AU85" s="354"/>
      <c r="AV85" s="354"/>
    </row>
    <row r="86" spans="1:48" s="323" customFormat="1" ht="54" customHeight="1">
      <c r="A86" s="51">
        <v>15</v>
      </c>
      <c r="B86" s="52" t="s">
        <v>174</v>
      </c>
      <c r="C86" s="15" t="s">
        <v>135</v>
      </c>
      <c r="D86" s="12">
        <f>'BC UBND Huyện 15 hàng tháng'!E82</f>
        <v>357913</v>
      </c>
      <c r="E86" s="348"/>
      <c r="F86" s="348"/>
      <c r="G86" s="351">
        <f t="shared" ref="G86:G98" si="32">SUM(H86:I86)</f>
        <v>311000</v>
      </c>
      <c r="H86" s="350"/>
      <c r="I86" s="348">
        <f>'BC UBND Huyện 15 hàng tháng'!R82</f>
        <v>311000</v>
      </c>
      <c r="J86" s="348">
        <f t="shared" ref="J86:J98" si="33">SUM(K86:L86)</f>
        <v>127104</v>
      </c>
      <c r="K86" s="350"/>
      <c r="L86" s="348">
        <f>'BC UBND Huyện 15 hàng tháng'!U82</f>
        <v>127104</v>
      </c>
      <c r="M86" s="347">
        <f t="shared" ref="M86:M98" si="34">J86/G86*100</f>
        <v>40.86945337620579</v>
      </c>
      <c r="N86" s="348">
        <f t="shared" ref="N86:N98" si="35">AV86*D86/100</f>
        <v>304226.05</v>
      </c>
      <c r="O86" s="468">
        <f t="shared" ref="O86:O98" si="36">SUM(P86:Q86)</f>
        <v>0</v>
      </c>
      <c r="P86" s="470"/>
      <c r="Q86" s="470"/>
      <c r="R86" s="324"/>
      <c r="S86" s="324"/>
      <c r="T86" s="324"/>
      <c r="U86" s="324"/>
      <c r="V86" s="324"/>
      <c r="W86" s="324"/>
      <c r="X86" s="324"/>
      <c r="Y86" s="324"/>
      <c r="Z86" s="324"/>
      <c r="AA86" s="324"/>
      <c r="AB86" s="324"/>
      <c r="AC86" s="324"/>
      <c r="AD86" s="324"/>
      <c r="AE86" s="324"/>
      <c r="AF86" s="324"/>
      <c r="AG86" s="324"/>
      <c r="AH86" s="324"/>
      <c r="AI86" s="324"/>
      <c r="AJ86" s="324"/>
      <c r="AK86" s="324"/>
      <c r="AL86" s="324"/>
      <c r="AM86" s="324"/>
      <c r="AN86" s="324"/>
      <c r="AO86" s="324"/>
      <c r="AP86" s="324"/>
      <c r="AQ86" s="355" t="str">
        <f>'BC UBND Huyện 15 hàng tháng'!N82</f>
        <v>Số 28/2021/HĐ-XD ngày 07/05/2021;  KC-HT: '14/05/2021-13/07/2021</v>
      </c>
      <c r="AR86" s="15" t="str">
        <f>'BC UBND Huyện 15 hàng tháng'!X82</f>
        <v>Đang đóng trần</v>
      </c>
      <c r="AS86" s="356"/>
      <c r="AT86" s="356"/>
      <c r="AU86" s="356"/>
      <c r="AV86" s="13">
        <f>'BC UBND Huyện 15 hàng tháng'!P82</f>
        <v>85</v>
      </c>
    </row>
    <row r="87" spans="1:48" s="323" customFormat="1" ht="118.5" customHeight="1">
      <c r="A87" s="51">
        <v>16</v>
      </c>
      <c r="B87" s="52" t="s">
        <v>175</v>
      </c>
      <c r="C87" s="15" t="s">
        <v>135</v>
      </c>
      <c r="D87" s="12">
        <f>'BC UBND Huyện 15 hàng tháng'!E83</f>
        <v>738335</v>
      </c>
      <c r="E87" s="348"/>
      <c r="F87" s="348"/>
      <c r="G87" s="351">
        <f t="shared" si="32"/>
        <v>812000</v>
      </c>
      <c r="H87" s="350"/>
      <c r="I87" s="348">
        <f>'BC UBND Huyện 15 hàng tháng'!R83</f>
        <v>812000</v>
      </c>
      <c r="J87" s="348">
        <f t="shared" si="33"/>
        <v>253978</v>
      </c>
      <c r="K87" s="350"/>
      <c r="L87" s="348">
        <f>'BC UBND Huyện 15 hàng tháng'!U83</f>
        <v>253978</v>
      </c>
      <c r="M87" s="347">
        <f t="shared" si="34"/>
        <v>31.278078817733991</v>
      </c>
      <c r="N87" s="348">
        <f t="shared" si="35"/>
        <v>664501.5</v>
      </c>
      <c r="O87" s="468">
        <f t="shared" si="36"/>
        <v>0</v>
      </c>
      <c r="P87" s="470"/>
      <c r="Q87" s="470"/>
      <c r="R87" s="324"/>
      <c r="S87" s="324"/>
      <c r="T87" s="324"/>
      <c r="U87" s="324"/>
      <c r="V87" s="324"/>
      <c r="W87" s="324"/>
      <c r="X87" s="324"/>
      <c r="Y87" s="324"/>
      <c r="Z87" s="324"/>
      <c r="AA87" s="324"/>
      <c r="AB87" s="324"/>
      <c r="AC87" s="324"/>
      <c r="AD87" s="324"/>
      <c r="AE87" s="324"/>
      <c r="AF87" s="324"/>
      <c r="AG87" s="324"/>
      <c r="AH87" s="324"/>
      <c r="AI87" s="324"/>
      <c r="AJ87" s="324"/>
      <c r="AK87" s="324"/>
      <c r="AL87" s="324"/>
      <c r="AM87" s="324"/>
      <c r="AN87" s="324"/>
      <c r="AO87" s="324"/>
      <c r="AP87" s="324"/>
      <c r="AQ87" s="355" t="str">
        <f>'BC UBND Huyện 15 hàng tháng'!N83</f>
        <v>Số 20/2021/HĐ-XD ngày 26/03/2021;  KC-HT: '01/04/2021-30/06/2021</v>
      </c>
      <c r="AR87" s="15" t="str">
        <f>'BC UBND Huyện 15 hàng tháng'!X83</f>
        <v>Đang hoàn thiện</v>
      </c>
      <c r="AS87" s="15" t="s">
        <v>455</v>
      </c>
      <c r="AT87" s="356"/>
      <c r="AU87" s="356"/>
      <c r="AV87" s="13">
        <f>'BC UBND Huyện 15 hàng tháng'!P83</f>
        <v>90</v>
      </c>
    </row>
    <row r="88" spans="1:48" s="322" customFormat="1" ht="94.5" customHeight="1">
      <c r="A88" s="8">
        <v>17</v>
      </c>
      <c r="B88" s="9" t="s">
        <v>176</v>
      </c>
      <c r="C88" s="15" t="s">
        <v>135</v>
      </c>
      <c r="D88" s="12">
        <f>'BC UBND Huyện 15 hàng tháng'!E84</f>
        <v>238389</v>
      </c>
      <c r="E88" s="348"/>
      <c r="F88" s="348"/>
      <c r="G88" s="351">
        <f t="shared" si="32"/>
        <v>238000</v>
      </c>
      <c r="H88" s="348"/>
      <c r="I88" s="348">
        <f>'BC UBND Huyện 15 hàng tháng'!R84</f>
        <v>238000</v>
      </c>
      <c r="J88" s="348">
        <f t="shared" si="33"/>
        <v>219688</v>
      </c>
      <c r="K88" s="349"/>
      <c r="L88" s="348">
        <f>'BC UBND Huyện 15 hàng tháng'!U84</f>
        <v>219688</v>
      </c>
      <c r="M88" s="347">
        <f t="shared" si="34"/>
        <v>92.305882352941168</v>
      </c>
      <c r="N88" s="348">
        <f t="shared" si="35"/>
        <v>238389</v>
      </c>
      <c r="O88" s="468">
        <f t="shared" si="36"/>
        <v>0</v>
      </c>
      <c r="P88" s="469"/>
      <c r="Q88" s="469"/>
      <c r="R88" s="325"/>
      <c r="S88" s="325"/>
      <c r="T88" s="325"/>
      <c r="U88" s="325"/>
      <c r="V88" s="325"/>
      <c r="W88" s="325"/>
      <c r="X88" s="325"/>
      <c r="Y88" s="325"/>
      <c r="Z88" s="325"/>
      <c r="AA88" s="325"/>
      <c r="AB88" s="325"/>
      <c r="AC88" s="325"/>
      <c r="AD88" s="325"/>
      <c r="AE88" s="325"/>
      <c r="AF88" s="325"/>
      <c r="AG88" s="325"/>
      <c r="AH88" s="325"/>
      <c r="AI88" s="325"/>
      <c r="AJ88" s="325"/>
      <c r="AK88" s="325"/>
      <c r="AL88" s="325"/>
      <c r="AM88" s="325"/>
      <c r="AN88" s="325"/>
      <c r="AO88" s="325"/>
      <c r="AP88" s="325"/>
      <c r="AQ88" s="355" t="str">
        <f>'BC UBND Huyện 15 hàng tháng'!N84</f>
        <v>Số 19/2021/HĐ-XD ngày 26/03/2021;  KC-HT: '30/03/2021-29/05/2021</v>
      </c>
      <c r="AR88" s="15" t="str">
        <f>'BC UBND Huyện 15 hàng tháng'!X84</f>
        <v>Hoàn thành</v>
      </c>
      <c r="AS88" s="15"/>
      <c r="AT88" s="357"/>
      <c r="AU88" s="357"/>
      <c r="AV88" s="13">
        <f>'BC UBND Huyện 15 hàng tháng'!P84</f>
        <v>100</v>
      </c>
    </row>
    <row r="89" spans="1:48" s="323" customFormat="1" ht="62.25" customHeight="1">
      <c r="A89" s="51">
        <v>18</v>
      </c>
      <c r="B89" s="52" t="s">
        <v>177</v>
      </c>
      <c r="C89" s="15" t="s">
        <v>135</v>
      </c>
      <c r="D89" s="12">
        <f>'BC UBND Huyện 15 hàng tháng'!E85</f>
        <v>269146</v>
      </c>
      <c r="E89" s="348"/>
      <c r="F89" s="348"/>
      <c r="G89" s="351">
        <f t="shared" si="32"/>
        <v>469000</v>
      </c>
      <c r="H89" s="350"/>
      <c r="I89" s="348">
        <f>'BC UBND Huyện 15 hàng tháng'!R85</f>
        <v>469000</v>
      </c>
      <c r="J89" s="348">
        <f t="shared" si="33"/>
        <v>248547</v>
      </c>
      <c r="K89" s="350"/>
      <c r="L89" s="348">
        <f>'BC UBND Huyện 15 hàng tháng'!U85</f>
        <v>248547</v>
      </c>
      <c r="M89" s="347">
        <f t="shared" si="34"/>
        <v>52.995095948827284</v>
      </c>
      <c r="N89" s="348">
        <f t="shared" si="35"/>
        <v>269146</v>
      </c>
      <c r="O89" s="468">
        <f t="shared" si="36"/>
        <v>0</v>
      </c>
      <c r="P89" s="470"/>
      <c r="Q89" s="470"/>
      <c r="R89" s="324"/>
      <c r="S89" s="324"/>
      <c r="T89" s="324"/>
      <c r="U89" s="324"/>
      <c r="V89" s="324"/>
      <c r="W89" s="324"/>
      <c r="X89" s="324"/>
      <c r="Y89" s="324"/>
      <c r="Z89" s="324"/>
      <c r="AA89" s="324"/>
      <c r="AB89" s="324"/>
      <c r="AC89" s="324"/>
      <c r="AD89" s="324"/>
      <c r="AE89" s="324"/>
      <c r="AF89" s="324"/>
      <c r="AG89" s="324"/>
      <c r="AH89" s="324"/>
      <c r="AI89" s="324"/>
      <c r="AJ89" s="324"/>
      <c r="AK89" s="324"/>
      <c r="AL89" s="324"/>
      <c r="AM89" s="324"/>
      <c r="AN89" s="324"/>
      <c r="AO89" s="324"/>
      <c r="AP89" s="324"/>
      <c r="AQ89" s="355" t="str">
        <f>'BC UBND Huyện 15 hàng tháng'!N85</f>
        <v>Số 13/2021/HĐ-XD ngày 16/03/2021;  KC-HT: '23/03/2021-22/05/2021</v>
      </c>
      <c r="AR89" s="15" t="str">
        <f>'BC UBND Huyện 15 hàng tháng'!X85</f>
        <v>Hoàn thành</v>
      </c>
      <c r="AS89" s="15"/>
      <c r="AT89" s="356"/>
      <c r="AU89" s="356"/>
      <c r="AV89" s="13">
        <f>'BC UBND Huyện 15 hàng tháng'!P85</f>
        <v>100</v>
      </c>
    </row>
    <row r="90" spans="1:48" s="323" customFormat="1" ht="106.5" customHeight="1">
      <c r="A90" s="51">
        <v>19</v>
      </c>
      <c r="B90" s="52" t="s">
        <v>178</v>
      </c>
      <c r="C90" s="15" t="s">
        <v>135</v>
      </c>
      <c r="D90" s="12">
        <f>'BC UBND Huyện 15 hàng tháng'!E86</f>
        <v>412398</v>
      </c>
      <c r="E90" s="348"/>
      <c r="F90" s="348"/>
      <c r="G90" s="351">
        <f t="shared" si="32"/>
        <v>435000</v>
      </c>
      <c r="H90" s="350"/>
      <c r="I90" s="348">
        <f>'BC UBND Huyện 15 hàng tháng'!R86</f>
        <v>435000</v>
      </c>
      <c r="J90" s="348">
        <f t="shared" si="33"/>
        <v>23679</v>
      </c>
      <c r="K90" s="350"/>
      <c r="L90" s="348">
        <f>'BC UBND Huyện 15 hàng tháng'!U86</f>
        <v>23679</v>
      </c>
      <c r="M90" s="347">
        <f t="shared" si="34"/>
        <v>5.4434482758620684</v>
      </c>
      <c r="N90" s="348">
        <f t="shared" si="35"/>
        <v>0</v>
      </c>
      <c r="O90" s="468">
        <f t="shared" si="36"/>
        <v>0</v>
      </c>
      <c r="P90" s="470"/>
      <c r="Q90" s="470"/>
      <c r="R90" s="324"/>
      <c r="S90" s="324"/>
      <c r="T90" s="324"/>
      <c r="U90" s="324"/>
      <c r="V90" s="324"/>
      <c r="W90" s="324"/>
      <c r="X90" s="324"/>
      <c r="Y90" s="324"/>
      <c r="Z90" s="324"/>
      <c r="AA90" s="324"/>
      <c r="AB90" s="324"/>
      <c r="AC90" s="324"/>
      <c r="AD90" s="324"/>
      <c r="AE90" s="324"/>
      <c r="AF90" s="324"/>
      <c r="AG90" s="324"/>
      <c r="AH90" s="324"/>
      <c r="AI90" s="324"/>
      <c r="AJ90" s="324"/>
      <c r="AK90" s="324"/>
      <c r="AL90" s="324"/>
      <c r="AM90" s="324"/>
      <c r="AN90" s="324"/>
      <c r="AO90" s="324"/>
      <c r="AP90" s="324"/>
      <c r="AQ90" s="355">
        <f>'BC UBND Huyện 15 hàng tháng'!N86</f>
        <v>0</v>
      </c>
      <c r="AR90" s="15" t="str">
        <f>'BC UBND Huyện 15 hàng tháng'!X86</f>
        <v>Đang thương thảo hợp đồng</v>
      </c>
      <c r="AS90" s="356"/>
      <c r="AT90" s="356"/>
      <c r="AU90" s="356"/>
      <c r="AV90" s="13">
        <f>'BC UBND Huyện 15 hàng tháng'!P86</f>
        <v>0</v>
      </c>
    </row>
    <row r="91" spans="1:48" s="322" customFormat="1" ht="94.5" customHeight="1">
      <c r="A91" s="8">
        <v>20</v>
      </c>
      <c r="B91" s="9" t="s">
        <v>179</v>
      </c>
      <c r="C91" s="15" t="s">
        <v>135</v>
      </c>
      <c r="D91" s="12">
        <f>'BC UBND Huyện 15 hàng tháng'!E87</f>
        <v>296417</v>
      </c>
      <c r="E91" s="348"/>
      <c r="F91" s="348"/>
      <c r="G91" s="351">
        <f t="shared" si="32"/>
        <v>371000</v>
      </c>
      <c r="H91" s="348"/>
      <c r="I91" s="348">
        <f>'BC UBND Huyện 15 hàng tháng'!R87</f>
        <v>371000</v>
      </c>
      <c r="J91" s="348">
        <f t="shared" si="33"/>
        <v>108985</v>
      </c>
      <c r="K91" s="349"/>
      <c r="L91" s="348">
        <f>'BC UBND Huyện 15 hàng tháng'!U87</f>
        <v>108985</v>
      </c>
      <c r="M91" s="347">
        <f t="shared" si="34"/>
        <v>29.376010781671159</v>
      </c>
      <c r="N91" s="348">
        <f t="shared" si="35"/>
        <v>296417</v>
      </c>
      <c r="O91" s="468">
        <f t="shared" si="36"/>
        <v>0</v>
      </c>
      <c r="P91" s="469"/>
      <c r="Q91" s="469"/>
      <c r="R91" s="325"/>
      <c r="S91" s="325"/>
      <c r="T91" s="325"/>
      <c r="U91" s="325"/>
      <c r="V91" s="325"/>
      <c r="W91" s="325"/>
      <c r="X91" s="325"/>
      <c r="Y91" s="325"/>
      <c r="Z91" s="325"/>
      <c r="AA91" s="325"/>
      <c r="AB91" s="325"/>
      <c r="AC91" s="325"/>
      <c r="AD91" s="325"/>
      <c r="AE91" s="325"/>
      <c r="AF91" s="325"/>
      <c r="AG91" s="325"/>
      <c r="AH91" s="325"/>
      <c r="AI91" s="325"/>
      <c r="AJ91" s="325"/>
      <c r="AK91" s="325"/>
      <c r="AL91" s="325"/>
      <c r="AM91" s="325"/>
      <c r="AN91" s="325"/>
      <c r="AO91" s="325"/>
      <c r="AP91" s="325"/>
      <c r="AQ91" s="355" t="str">
        <f>'BC UBND Huyện 15 hàng tháng'!N87</f>
        <v>Số 22/2021/HĐ-XD ngày 30/03/2021;  KC-HT: '06/04/2021-05/06/2021</v>
      </c>
      <c r="AR91" s="15" t="str">
        <f>'BC UBND Huyện 15 hàng tháng'!X87</f>
        <v>Hoàn thành</v>
      </c>
      <c r="AS91" s="15"/>
      <c r="AT91" s="357"/>
      <c r="AU91" s="357"/>
      <c r="AV91" s="13">
        <f>'BC UBND Huyện 15 hàng tháng'!P87</f>
        <v>100</v>
      </c>
    </row>
    <row r="92" spans="1:48" s="322" customFormat="1" ht="94.5" customHeight="1">
      <c r="A92" s="8">
        <v>21</v>
      </c>
      <c r="B92" s="9" t="s">
        <v>180</v>
      </c>
      <c r="C92" s="15" t="s">
        <v>135</v>
      </c>
      <c r="D92" s="12">
        <f>'BC UBND Huyện 15 hàng tháng'!E88</f>
        <v>960529</v>
      </c>
      <c r="E92" s="348"/>
      <c r="F92" s="348"/>
      <c r="G92" s="351">
        <f t="shared" si="32"/>
        <v>979000</v>
      </c>
      <c r="H92" s="348"/>
      <c r="I92" s="348">
        <f>'BC UBND Huyện 15 hàng tháng'!R88</f>
        <v>979000</v>
      </c>
      <c r="J92" s="348">
        <f t="shared" si="33"/>
        <v>344020</v>
      </c>
      <c r="K92" s="349"/>
      <c r="L92" s="348">
        <f>'BC UBND Huyện 15 hàng tháng'!U88</f>
        <v>344020</v>
      </c>
      <c r="M92" s="347">
        <f t="shared" si="34"/>
        <v>35.139938712972416</v>
      </c>
      <c r="N92" s="348">
        <f t="shared" si="35"/>
        <v>288158.7</v>
      </c>
      <c r="O92" s="468">
        <f t="shared" si="36"/>
        <v>0</v>
      </c>
      <c r="P92" s="469"/>
      <c r="Q92" s="469"/>
      <c r="R92" s="325"/>
      <c r="S92" s="325"/>
      <c r="T92" s="325"/>
      <c r="U92" s="325"/>
      <c r="V92" s="325"/>
      <c r="W92" s="325"/>
      <c r="X92" s="325"/>
      <c r="Y92" s="325"/>
      <c r="Z92" s="325"/>
      <c r="AA92" s="325"/>
      <c r="AB92" s="325"/>
      <c r="AC92" s="325"/>
      <c r="AD92" s="325"/>
      <c r="AE92" s="325"/>
      <c r="AF92" s="325"/>
      <c r="AG92" s="325"/>
      <c r="AH92" s="325"/>
      <c r="AI92" s="325"/>
      <c r="AJ92" s="325"/>
      <c r="AK92" s="325"/>
      <c r="AL92" s="325"/>
      <c r="AM92" s="325"/>
      <c r="AN92" s="325"/>
      <c r="AO92" s="325"/>
      <c r="AP92" s="325"/>
      <c r="AQ92" s="355" t="str">
        <f>'BC UBND Huyện 15 hàng tháng'!N88</f>
        <v>Số 18/2021/HĐ-XD ngày 26/03/2021;  KC-HT: '30/03/2021-28/06/2021</v>
      </c>
      <c r="AR92" s="15" t="str">
        <f>'BC UBND Huyện 15 hàng tháng'!X88</f>
        <v>Đang thi công hàng rào</v>
      </c>
      <c r="AS92" s="15" t="s">
        <v>456</v>
      </c>
      <c r="AT92" s="357"/>
      <c r="AU92" s="357"/>
      <c r="AV92" s="13">
        <f>'BC UBND Huyện 15 hàng tháng'!P88</f>
        <v>30</v>
      </c>
    </row>
    <row r="93" spans="1:48" s="322" customFormat="1" ht="94.5" customHeight="1">
      <c r="A93" s="8">
        <v>22</v>
      </c>
      <c r="B93" s="9" t="s">
        <v>181</v>
      </c>
      <c r="C93" s="15" t="s">
        <v>135</v>
      </c>
      <c r="D93" s="12">
        <f>'BC UBND Huyện 15 hàng tháng'!E89</f>
        <v>674948</v>
      </c>
      <c r="E93" s="348"/>
      <c r="F93" s="348"/>
      <c r="G93" s="351">
        <f t="shared" si="32"/>
        <v>830000</v>
      </c>
      <c r="H93" s="348"/>
      <c r="I93" s="348">
        <f>'BC UBND Huyện 15 hàng tháng'!R89</f>
        <v>830000</v>
      </c>
      <c r="J93" s="348">
        <f t="shared" si="33"/>
        <v>596811</v>
      </c>
      <c r="K93" s="349"/>
      <c r="L93" s="348">
        <f>'BC UBND Huyện 15 hàng tháng'!U89</f>
        <v>596811</v>
      </c>
      <c r="M93" s="347">
        <f t="shared" si="34"/>
        <v>71.904939759036139</v>
      </c>
      <c r="N93" s="348">
        <f t="shared" si="35"/>
        <v>674948</v>
      </c>
      <c r="O93" s="468">
        <f t="shared" si="36"/>
        <v>0</v>
      </c>
      <c r="P93" s="469"/>
      <c r="Q93" s="469"/>
      <c r="R93" s="325"/>
      <c r="S93" s="325"/>
      <c r="T93" s="325"/>
      <c r="U93" s="325"/>
      <c r="V93" s="325"/>
      <c r="W93" s="325"/>
      <c r="X93" s="325"/>
      <c r="Y93" s="325"/>
      <c r="Z93" s="325"/>
      <c r="AA93" s="325"/>
      <c r="AB93" s="325"/>
      <c r="AC93" s="325"/>
      <c r="AD93" s="325"/>
      <c r="AE93" s="325"/>
      <c r="AF93" s="325"/>
      <c r="AG93" s="325"/>
      <c r="AH93" s="325"/>
      <c r="AI93" s="325"/>
      <c r="AJ93" s="325"/>
      <c r="AK93" s="325"/>
      <c r="AL93" s="325"/>
      <c r="AM93" s="325"/>
      <c r="AN93" s="325"/>
      <c r="AO93" s="325"/>
      <c r="AP93" s="325"/>
      <c r="AQ93" s="355" t="str">
        <f>'BC UBND Huyện 15 hàng tháng'!N89</f>
        <v>Số 17/2021/HĐ-XD ngày 26/03/2021;  KC-HT: '29/03/2021-27/06/2021</v>
      </c>
      <c r="AR93" s="15" t="str">
        <f>'BC UBND Huyện 15 hàng tháng'!X89</f>
        <v>Hoàn thành</v>
      </c>
      <c r="AS93" s="15"/>
      <c r="AT93" s="357"/>
      <c r="AU93" s="357"/>
      <c r="AV93" s="13">
        <f>'BC UBND Huyện 15 hàng tháng'!P89</f>
        <v>100</v>
      </c>
    </row>
    <row r="94" spans="1:48" s="322" customFormat="1" ht="94.5" customHeight="1">
      <c r="A94" s="8">
        <v>23</v>
      </c>
      <c r="B94" s="9" t="s">
        <v>182</v>
      </c>
      <c r="C94" s="15" t="s">
        <v>135</v>
      </c>
      <c r="D94" s="12">
        <f>'BC UBND Huyện 15 hàng tháng'!E90</f>
        <v>371182</v>
      </c>
      <c r="E94" s="348"/>
      <c r="F94" s="348"/>
      <c r="G94" s="351">
        <f t="shared" si="32"/>
        <v>524000</v>
      </c>
      <c r="H94" s="348"/>
      <c r="I94" s="348">
        <f>'BC UBND Huyện 15 hàng tháng'!R90</f>
        <v>524000</v>
      </c>
      <c r="J94" s="348">
        <f t="shared" si="33"/>
        <v>132765</v>
      </c>
      <c r="K94" s="349"/>
      <c r="L94" s="348">
        <f>'BC UBND Huyện 15 hàng tháng'!U90</f>
        <v>132765</v>
      </c>
      <c r="M94" s="347">
        <f t="shared" si="34"/>
        <v>25.336832061068705</v>
      </c>
      <c r="N94" s="348">
        <f t="shared" si="35"/>
        <v>371182</v>
      </c>
      <c r="O94" s="468">
        <f t="shared" si="36"/>
        <v>0</v>
      </c>
      <c r="P94" s="469"/>
      <c r="Q94" s="469"/>
      <c r="R94" s="325"/>
      <c r="S94" s="325"/>
      <c r="T94" s="325"/>
      <c r="U94" s="325"/>
      <c r="V94" s="325"/>
      <c r="W94" s="325"/>
      <c r="X94" s="325"/>
      <c r="Y94" s="325"/>
      <c r="Z94" s="325"/>
      <c r="AA94" s="325"/>
      <c r="AB94" s="325"/>
      <c r="AC94" s="325"/>
      <c r="AD94" s="325"/>
      <c r="AE94" s="325"/>
      <c r="AF94" s="325"/>
      <c r="AG94" s="325"/>
      <c r="AH94" s="325"/>
      <c r="AI94" s="325"/>
      <c r="AJ94" s="325"/>
      <c r="AK94" s="325"/>
      <c r="AL94" s="325"/>
      <c r="AM94" s="325"/>
      <c r="AN94" s="325"/>
      <c r="AO94" s="325"/>
      <c r="AP94" s="325"/>
      <c r="AQ94" s="355" t="str">
        <f>'BC UBND Huyện 15 hàng tháng'!N90</f>
        <v>Số 21/2021/HĐ-XD ngày 26/03/2021;  KC-HT: '01/04/2021-31/05/2021</v>
      </c>
      <c r="AR94" s="15" t="str">
        <f>'BC UBND Huyện 15 hàng tháng'!X90</f>
        <v>Hoàn thành</v>
      </c>
      <c r="AS94" s="15"/>
      <c r="AT94" s="357"/>
      <c r="AU94" s="357"/>
      <c r="AV94" s="13">
        <f>'BC UBND Huyện 15 hàng tháng'!P90</f>
        <v>100</v>
      </c>
    </row>
    <row r="95" spans="1:48" s="323" customFormat="1" ht="42.75" customHeight="1">
      <c r="A95" s="51">
        <v>24</v>
      </c>
      <c r="B95" s="9" t="s">
        <v>183</v>
      </c>
      <c r="C95" s="15" t="s">
        <v>135</v>
      </c>
      <c r="D95" s="12">
        <f>'BC UBND Huyện 15 hàng tháng'!E91</f>
        <v>0</v>
      </c>
      <c r="E95" s="348"/>
      <c r="F95" s="348"/>
      <c r="G95" s="351">
        <f t="shared" si="32"/>
        <v>3462000</v>
      </c>
      <c r="H95" s="350"/>
      <c r="I95" s="348">
        <f>'BC UBND Huyện 15 hàng tháng'!R91</f>
        <v>3462000</v>
      </c>
      <c r="J95" s="348">
        <f t="shared" si="33"/>
        <v>0</v>
      </c>
      <c r="K95" s="350"/>
      <c r="L95" s="348">
        <f>'BC UBND Huyện 15 hàng tháng'!U91</f>
        <v>0</v>
      </c>
      <c r="M95" s="347">
        <f t="shared" si="34"/>
        <v>0</v>
      </c>
      <c r="N95" s="348">
        <f t="shared" si="35"/>
        <v>0</v>
      </c>
      <c r="O95" s="468">
        <f t="shared" si="36"/>
        <v>0</v>
      </c>
      <c r="P95" s="470"/>
      <c r="Q95" s="470"/>
      <c r="R95" s="324"/>
      <c r="S95" s="324"/>
      <c r="T95" s="324"/>
      <c r="U95" s="324"/>
      <c r="V95" s="324"/>
      <c r="W95" s="324"/>
      <c r="X95" s="324"/>
      <c r="Y95" s="324"/>
      <c r="Z95" s="356" t="s">
        <v>71</v>
      </c>
      <c r="AA95" s="324"/>
      <c r="AB95" s="15"/>
      <c r="AC95" s="324"/>
      <c r="AD95" s="324"/>
      <c r="AE95" s="324"/>
      <c r="AF95" s="324"/>
      <c r="AG95" s="324"/>
      <c r="AH95" s="324"/>
      <c r="AI95" s="324"/>
      <c r="AJ95" s="324"/>
      <c r="AK95" s="324"/>
      <c r="AL95" s="324"/>
      <c r="AM95" s="324"/>
      <c r="AN95" s="324"/>
      <c r="AO95" s="324"/>
      <c r="AP95" s="324"/>
      <c r="AQ95" s="355">
        <f>'BC UBND Huyện 15 hàng tháng'!N91</f>
        <v>0</v>
      </c>
      <c r="AR95" s="15" t="str">
        <f>'BC UBND Huyện 15 hàng tháng'!X91</f>
        <v>Đang lập HS trình thẩm định</v>
      </c>
      <c r="AS95" s="356"/>
      <c r="AT95" s="356"/>
      <c r="AU95" s="356"/>
      <c r="AV95" s="13">
        <f>'BC UBND Huyện 15 hàng tháng'!P91</f>
        <v>0</v>
      </c>
    </row>
    <row r="96" spans="1:48" s="323" customFormat="1" ht="42" customHeight="1">
      <c r="A96" s="64">
        <v>25</v>
      </c>
      <c r="B96" s="52" t="s">
        <v>184</v>
      </c>
      <c r="C96" s="15" t="s">
        <v>135</v>
      </c>
      <c r="D96" s="12">
        <f>'BC UBND Huyện 15 hàng tháng'!E92</f>
        <v>3052274</v>
      </c>
      <c r="E96" s="348"/>
      <c r="F96" s="348"/>
      <c r="G96" s="351">
        <f t="shared" si="32"/>
        <v>1895000</v>
      </c>
      <c r="H96" s="350"/>
      <c r="I96" s="348">
        <f>'BC UBND Huyện 15 hàng tháng'!R92</f>
        <v>1895000</v>
      </c>
      <c r="J96" s="348">
        <f t="shared" si="33"/>
        <v>220827</v>
      </c>
      <c r="K96" s="350"/>
      <c r="L96" s="348">
        <f>'BC UBND Huyện 15 hàng tháng'!U92</f>
        <v>220827</v>
      </c>
      <c r="M96" s="347">
        <f t="shared" si="34"/>
        <v>11.653139841688654</v>
      </c>
      <c r="N96" s="348">
        <f t="shared" si="35"/>
        <v>0</v>
      </c>
      <c r="O96" s="468">
        <f t="shared" si="36"/>
        <v>0</v>
      </c>
      <c r="P96" s="470"/>
      <c r="Q96" s="470"/>
      <c r="R96" s="324"/>
      <c r="S96" s="324"/>
      <c r="T96" s="324"/>
      <c r="U96" s="324"/>
      <c r="V96" s="324"/>
      <c r="W96" s="324"/>
      <c r="X96" s="324"/>
      <c r="Y96" s="324"/>
      <c r="Z96" s="324"/>
      <c r="AA96" s="324"/>
      <c r="AB96" s="324"/>
      <c r="AC96" s="324"/>
      <c r="AD96" s="324"/>
      <c r="AE96" s="324"/>
      <c r="AF96" s="324"/>
      <c r="AG96" s="324"/>
      <c r="AH96" s="324"/>
      <c r="AI96" s="324"/>
      <c r="AJ96" s="15"/>
      <c r="AK96" s="324"/>
      <c r="AL96" s="324"/>
      <c r="AM96" s="324"/>
      <c r="AN96" s="324"/>
      <c r="AO96" s="324"/>
      <c r="AP96" s="324"/>
      <c r="AQ96" s="355">
        <f>'BC UBND Huyện 15 hàng tháng'!N92</f>
        <v>0</v>
      </c>
      <c r="AR96" s="15" t="str">
        <f>'BC UBND Huyện 15 hàng tháng'!X92</f>
        <v>Tạm dừng chưa thực hiện</v>
      </c>
      <c r="AS96" s="356"/>
      <c r="AT96" s="356"/>
      <c r="AU96" s="356"/>
      <c r="AV96" s="13">
        <f>'BC UBND Huyện 15 hàng tháng'!P92</f>
        <v>0</v>
      </c>
    </row>
    <row r="97" spans="1:48" s="323" customFormat="1" ht="59.25" customHeight="1">
      <c r="A97" s="51">
        <v>26</v>
      </c>
      <c r="B97" s="9" t="s">
        <v>185</v>
      </c>
      <c r="C97" s="15" t="s">
        <v>135</v>
      </c>
      <c r="D97" s="12">
        <f>'BC UBND Huyện 15 hàng tháng'!E93</f>
        <v>6012710</v>
      </c>
      <c r="E97" s="348"/>
      <c r="F97" s="348"/>
      <c r="G97" s="351">
        <f t="shared" si="32"/>
        <v>1912000</v>
      </c>
      <c r="H97" s="350"/>
      <c r="I97" s="348">
        <f>'BC UBND Huyện 15 hàng tháng'!R93</f>
        <v>1912000</v>
      </c>
      <c r="J97" s="348">
        <f t="shared" si="33"/>
        <v>0</v>
      </c>
      <c r="K97" s="350"/>
      <c r="L97" s="348">
        <f>'BC UBND Huyện 15 hàng tháng'!U93</f>
        <v>0</v>
      </c>
      <c r="M97" s="347">
        <f t="shared" si="34"/>
        <v>0</v>
      </c>
      <c r="N97" s="348">
        <f t="shared" si="35"/>
        <v>0</v>
      </c>
      <c r="O97" s="468">
        <f t="shared" si="36"/>
        <v>0</v>
      </c>
      <c r="P97" s="470"/>
      <c r="Q97" s="470"/>
      <c r="R97" s="324"/>
      <c r="S97" s="324"/>
      <c r="T97" s="324"/>
      <c r="U97" s="324"/>
      <c r="V97" s="324"/>
      <c r="W97" s="15"/>
      <c r="X97" s="324"/>
      <c r="Y97" s="324"/>
      <c r="Z97" s="15"/>
      <c r="AA97" s="324"/>
      <c r="AB97" s="324"/>
      <c r="AC97" s="324"/>
      <c r="AD97" s="324"/>
      <c r="AE97" s="324"/>
      <c r="AF97" s="324"/>
      <c r="AG97" s="324"/>
      <c r="AH97" s="324"/>
      <c r="AI97" s="324"/>
      <c r="AJ97" s="356" t="s">
        <v>71</v>
      </c>
      <c r="AK97" s="324"/>
      <c r="AL97" s="324"/>
      <c r="AM97" s="324"/>
      <c r="AN97" s="324"/>
      <c r="AO97" s="324"/>
      <c r="AP97" s="324"/>
      <c r="AQ97" s="355">
        <f>'BC UBND Huyện 15 hàng tháng'!N93</f>
        <v>0</v>
      </c>
      <c r="AR97" s="15" t="str">
        <f>'BC UBND Huyện 15 hàng tháng'!X93</f>
        <v>Đang trình Thẩm định phê duyệt điều chỉnh tổng mức đầu tư ngày 30/6/2021 (TCKH)</v>
      </c>
      <c r="AS97" s="356"/>
      <c r="AT97" s="356"/>
      <c r="AU97" s="356"/>
      <c r="AV97" s="13">
        <f>'BC UBND Huyện 15 hàng tháng'!P93</f>
        <v>0</v>
      </c>
    </row>
    <row r="98" spans="1:48" s="323" customFormat="1" ht="59.25" customHeight="1">
      <c r="A98" s="51">
        <v>27</v>
      </c>
      <c r="B98" s="9" t="s">
        <v>186</v>
      </c>
      <c r="C98" s="15" t="s">
        <v>135</v>
      </c>
      <c r="D98" s="12">
        <f>'BC UBND Huyện 15 hàng tháng'!E94</f>
        <v>0</v>
      </c>
      <c r="E98" s="348"/>
      <c r="F98" s="348"/>
      <c r="G98" s="351">
        <f t="shared" si="32"/>
        <v>2224000</v>
      </c>
      <c r="H98" s="350"/>
      <c r="I98" s="348">
        <f>'BC UBND Huyện 15 hàng tháng'!R94</f>
        <v>2224000</v>
      </c>
      <c r="J98" s="348">
        <f t="shared" si="33"/>
        <v>0</v>
      </c>
      <c r="K98" s="350"/>
      <c r="L98" s="348">
        <f>'BC UBND Huyện 15 hàng tháng'!U94</f>
        <v>0</v>
      </c>
      <c r="M98" s="347">
        <f t="shared" si="34"/>
        <v>0</v>
      </c>
      <c r="N98" s="348">
        <f t="shared" si="35"/>
        <v>0</v>
      </c>
      <c r="O98" s="468">
        <f t="shared" si="36"/>
        <v>0</v>
      </c>
      <c r="P98" s="470"/>
      <c r="Q98" s="470"/>
      <c r="R98" s="324"/>
      <c r="S98" s="324"/>
      <c r="T98" s="324"/>
      <c r="U98" s="324"/>
      <c r="V98" s="324"/>
      <c r="W98" s="15"/>
      <c r="X98" s="324"/>
      <c r="Y98" s="324"/>
      <c r="Z98" s="15" t="s">
        <v>71</v>
      </c>
      <c r="AA98" s="324"/>
      <c r="AB98" s="324"/>
      <c r="AC98" s="324"/>
      <c r="AD98" s="324"/>
      <c r="AE98" s="324"/>
      <c r="AF98" s="324"/>
      <c r="AG98" s="324"/>
      <c r="AH98" s="324"/>
      <c r="AI98" s="324"/>
      <c r="AJ98" s="324"/>
      <c r="AK98" s="324"/>
      <c r="AL98" s="324"/>
      <c r="AM98" s="324"/>
      <c r="AN98" s="324"/>
      <c r="AO98" s="324"/>
      <c r="AP98" s="324"/>
      <c r="AQ98" s="355">
        <f>'BC UBND Huyện 15 hàng tháng'!N94</f>
        <v>0</v>
      </c>
      <c r="AR98" s="15" t="str">
        <f>'BC UBND Huyện 15 hàng tháng'!X94</f>
        <v>Đang xin chủ trương điều chỉnh quy mô</v>
      </c>
      <c r="AS98" s="356"/>
      <c r="AT98" s="356"/>
      <c r="AU98" s="356"/>
      <c r="AV98" s="13">
        <f>'BC UBND Huyện 15 hàng tháng'!P94</f>
        <v>0</v>
      </c>
    </row>
    <row r="99" spans="1:48" s="340" customFormat="1" ht="31.5" customHeight="1">
      <c r="A99" s="328" t="s">
        <v>40</v>
      </c>
      <c r="B99" s="329" t="s">
        <v>187</v>
      </c>
      <c r="C99" s="339"/>
      <c r="D99" s="358">
        <f>SUM(D100:D103)</f>
        <v>8360202</v>
      </c>
      <c r="E99" s="358">
        <f t="shared" ref="E99:L99" si="37">SUM(E100:E103)</f>
        <v>0</v>
      </c>
      <c r="F99" s="358">
        <f t="shared" si="37"/>
        <v>0</v>
      </c>
      <c r="G99" s="358">
        <f t="shared" si="37"/>
        <v>8399000</v>
      </c>
      <c r="H99" s="358">
        <f t="shared" si="37"/>
        <v>0</v>
      </c>
      <c r="I99" s="358">
        <f t="shared" si="37"/>
        <v>8399000</v>
      </c>
      <c r="J99" s="358">
        <f t="shared" si="37"/>
        <v>1026894</v>
      </c>
      <c r="K99" s="358">
        <f t="shared" si="37"/>
        <v>0</v>
      </c>
      <c r="L99" s="358">
        <f t="shared" si="37"/>
        <v>1026894</v>
      </c>
      <c r="M99" s="359">
        <f t="shared" ref="M99:M104" si="38">J99/G99*100</f>
        <v>12.226384093344446</v>
      </c>
      <c r="N99" s="366">
        <f>SUM(N100:N103)</f>
        <v>1137605.6000000001</v>
      </c>
      <c r="O99" s="467">
        <f>SUM(O100:O103)</f>
        <v>0</v>
      </c>
      <c r="P99" s="467">
        <f>SUM(P100:P103)</f>
        <v>0</v>
      </c>
      <c r="Q99" s="467">
        <f>SUM(Q100:Q103)</f>
        <v>0</v>
      </c>
      <c r="R99" s="339"/>
      <c r="S99" s="339"/>
      <c r="T99" s="339"/>
      <c r="U99" s="339"/>
      <c r="V99" s="339"/>
      <c r="W99" s="339"/>
      <c r="X99" s="339"/>
      <c r="Y99" s="339"/>
      <c r="Z99" s="339"/>
      <c r="AA99" s="339"/>
      <c r="AB99" s="339"/>
      <c r="AC99" s="339"/>
      <c r="AD99" s="339"/>
      <c r="AE99" s="339"/>
      <c r="AF99" s="339"/>
      <c r="AG99" s="339"/>
      <c r="AH99" s="339"/>
      <c r="AI99" s="339"/>
      <c r="AJ99" s="339"/>
      <c r="AK99" s="339"/>
      <c r="AL99" s="339"/>
      <c r="AM99" s="339"/>
      <c r="AN99" s="339"/>
      <c r="AO99" s="339"/>
      <c r="AP99" s="339"/>
      <c r="AQ99" s="354"/>
      <c r="AR99" s="339"/>
      <c r="AS99" s="354"/>
      <c r="AT99" s="354"/>
      <c r="AU99" s="354"/>
      <c r="AV99" s="354"/>
    </row>
    <row r="100" spans="1:48" s="322" customFormat="1" ht="94.5" customHeight="1">
      <c r="A100" s="8">
        <v>28</v>
      </c>
      <c r="B100" s="9" t="s">
        <v>188</v>
      </c>
      <c r="C100" s="15" t="s">
        <v>427</v>
      </c>
      <c r="D100" s="12">
        <f>'BC UBND Huyện 15 hàng tháng'!E96</f>
        <v>663655</v>
      </c>
      <c r="E100" s="348"/>
      <c r="F100" s="348"/>
      <c r="G100" s="351">
        <f>SUM(H100:I100)</f>
        <v>813000</v>
      </c>
      <c r="H100" s="348"/>
      <c r="I100" s="348">
        <f>'BC UBND Huyện 15 hàng tháng'!R96</f>
        <v>813000</v>
      </c>
      <c r="J100" s="348">
        <f>SUM(K100:L100)</f>
        <v>226925</v>
      </c>
      <c r="K100" s="349"/>
      <c r="L100" s="348">
        <f>'BC UBND Huyện 15 hàng tháng'!U96</f>
        <v>226925</v>
      </c>
      <c r="M100" s="347">
        <f t="shared" si="38"/>
        <v>27.912054120541207</v>
      </c>
      <c r="N100" s="348">
        <f>AV100*D100/100</f>
        <v>0</v>
      </c>
      <c r="O100" s="468">
        <f>SUM(P100:Q100)</f>
        <v>0</v>
      </c>
      <c r="P100" s="469"/>
      <c r="Q100" s="469"/>
      <c r="R100" s="325"/>
      <c r="S100" s="325"/>
      <c r="T100" s="325"/>
      <c r="U100" s="325"/>
      <c r="V100" s="325"/>
      <c r="W100" s="325"/>
      <c r="X100" s="325"/>
      <c r="Y100" s="325"/>
      <c r="Z100" s="325"/>
      <c r="AA100" s="325"/>
      <c r="AB100" s="325"/>
      <c r="AC100" s="325"/>
      <c r="AD100" s="325"/>
      <c r="AE100" s="325"/>
      <c r="AF100" s="325"/>
      <c r="AG100" s="325"/>
      <c r="AH100" s="325"/>
      <c r="AI100" s="325"/>
      <c r="AJ100" s="15"/>
      <c r="AK100" s="325"/>
      <c r="AL100" s="325"/>
      <c r="AM100" s="325"/>
      <c r="AN100" s="325"/>
      <c r="AO100" s="325"/>
      <c r="AP100" s="325"/>
      <c r="AQ100" s="355" t="str">
        <f>'BC UBND Huyện 15 hàng tháng'!N96</f>
        <v>Số 24/2021/HĐ-XD ngày 16/04/2021;  KC-HT: '23/04/2021-21/08/2021</v>
      </c>
      <c r="AR100" s="15" t="str">
        <f>'BC UBND Huyện 15 hàng tháng'!X96</f>
        <v xml:space="preserve">Đang triển khai thi công </v>
      </c>
      <c r="AS100" s="357"/>
      <c r="AT100" s="357"/>
      <c r="AU100" s="357"/>
      <c r="AV100" s="13">
        <f>'BC UBND Huyện 15 hàng tháng'!P96</f>
        <v>0</v>
      </c>
    </row>
    <row r="101" spans="1:48" s="322" customFormat="1" ht="94.5" customHeight="1">
      <c r="A101" s="8">
        <v>29</v>
      </c>
      <c r="B101" s="9" t="s">
        <v>189</v>
      </c>
      <c r="C101" s="15" t="s">
        <v>427</v>
      </c>
      <c r="D101" s="12">
        <f>'BC UBND Huyện 15 hàng tháng'!E97</f>
        <v>681282</v>
      </c>
      <c r="E101" s="348"/>
      <c r="F101" s="348"/>
      <c r="G101" s="351">
        <f>SUM(H101:I101)</f>
        <v>1606000</v>
      </c>
      <c r="H101" s="348"/>
      <c r="I101" s="348">
        <f>'BC UBND Huyện 15 hàng tháng'!R97</f>
        <v>1606000</v>
      </c>
      <c r="J101" s="348">
        <f>SUM(K101:L101)</f>
        <v>257373</v>
      </c>
      <c r="K101" s="349"/>
      <c r="L101" s="348">
        <f>'BC UBND Huyện 15 hàng tháng'!U97</f>
        <v>257373</v>
      </c>
      <c r="M101" s="347">
        <f t="shared" si="38"/>
        <v>16.025716064757162</v>
      </c>
      <c r="N101" s="348">
        <f>AV101*D101/100</f>
        <v>545025.6</v>
      </c>
      <c r="O101" s="468">
        <f>SUM(P101:Q101)</f>
        <v>0</v>
      </c>
      <c r="P101" s="469"/>
      <c r="Q101" s="469"/>
      <c r="R101" s="325"/>
      <c r="S101" s="325"/>
      <c r="T101" s="325"/>
      <c r="U101" s="325"/>
      <c r="V101" s="325"/>
      <c r="W101" s="325"/>
      <c r="X101" s="325"/>
      <c r="Y101" s="325"/>
      <c r="Z101" s="325"/>
      <c r="AA101" s="325"/>
      <c r="AB101" s="325"/>
      <c r="AC101" s="325"/>
      <c r="AD101" s="325"/>
      <c r="AE101" s="325"/>
      <c r="AF101" s="325"/>
      <c r="AG101" s="325"/>
      <c r="AH101" s="325"/>
      <c r="AI101" s="325"/>
      <c r="AJ101" s="325"/>
      <c r="AK101" s="325"/>
      <c r="AL101" s="325"/>
      <c r="AM101" s="325"/>
      <c r="AN101" s="325"/>
      <c r="AO101" s="325"/>
      <c r="AP101" s="325"/>
      <c r="AQ101" s="355" t="str">
        <f>'BC UBND Huyện 15 hàng tháng'!N97</f>
        <v>Số 12/2021/HĐ-XD ngày 16/03/2021;  KC-HT: '23/03/2021-21/07/2021</v>
      </c>
      <c r="AR101" s="15" t="str">
        <f>'BC UBND Huyện 15 hàng tháng'!X97</f>
        <v>Đang lót vỉa hè</v>
      </c>
      <c r="AS101" s="15" t="s">
        <v>457</v>
      </c>
      <c r="AT101" s="357"/>
      <c r="AU101" s="357"/>
      <c r="AV101" s="13">
        <f>'BC UBND Huyện 15 hàng tháng'!P97</f>
        <v>80</v>
      </c>
    </row>
    <row r="102" spans="1:48" s="322" customFormat="1" ht="94.5" customHeight="1">
      <c r="A102" s="8">
        <v>30</v>
      </c>
      <c r="B102" s="9" t="s">
        <v>190</v>
      </c>
      <c r="C102" s="15" t="s">
        <v>427</v>
      </c>
      <c r="D102" s="12">
        <f>'BC UBND Huyện 15 hàng tháng'!E98</f>
        <v>592580</v>
      </c>
      <c r="E102" s="348"/>
      <c r="F102" s="348"/>
      <c r="G102" s="351">
        <f>SUM(H102:I102)</f>
        <v>872000</v>
      </c>
      <c r="H102" s="348"/>
      <c r="I102" s="348">
        <f>'BC UBND Huyện 15 hàng tháng'!R98</f>
        <v>872000</v>
      </c>
      <c r="J102" s="348">
        <f>SUM(K102:L102)</f>
        <v>542596</v>
      </c>
      <c r="K102" s="349"/>
      <c r="L102" s="348">
        <f>'BC UBND Huyện 15 hàng tháng'!U98</f>
        <v>542596</v>
      </c>
      <c r="M102" s="347">
        <f t="shared" si="38"/>
        <v>62.224311926605502</v>
      </c>
      <c r="N102" s="348">
        <f>AV102*D102/100</f>
        <v>592580</v>
      </c>
      <c r="O102" s="468">
        <f>SUM(P102:Q102)</f>
        <v>0</v>
      </c>
      <c r="P102" s="469"/>
      <c r="Q102" s="469"/>
      <c r="R102" s="325"/>
      <c r="S102" s="325"/>
      <c r="T102" s="325"/>
      <c r="U102" s="325"/>
      <c r="V102" s="325"/>
      <c r="W102" s="325"/>
      <c r="X102" s="325"/>
      <c r="Y102" s="325"/>
      <c r="Z102" s="325"/>
      <c r="AA102" s="325"/>
      <c r="AB102" s="325"/>
      <c r="AC102" s="325"/>
      <c r="AD102" s="325"/>
      <c r="AE102" s="325"/>
      <c r="AF102" s="325"/>
      <c r="AG102" s="325"/>
      <c r="AH102" s="325"/>
      <c r="AI102" s="325"/>
      <c r="AJ102" s="325"/>
      <c r="AK102" s="325"/>
      <c r="AL102" s="325"/>
      <c r="AM102" s="325"/>
      <c r="AN102" s="325"/>
      <c r="AO102" s="325"/>
      <c r="AP102" s="325"/>
      <c r="AQ102" s="355" t="str">
        <f>'BC UBND Huyện 15 hàng tháng'!N98</f>
        <v>Số 11/2021/HĐ-XD ngày 16/03/2021;  KC-HT: '23/03/2021-21/07/2021</v>
      </c>
      <c r="AR102" s="15" t="str">
        <f>'BC UBND Huyện 15 hàng tháng'!X98</f>
        <v>Hoàn thành</v>
      </c>
      <c r="AS102" s="15"/>
      <c r="AT102" s="15"/>
      <c r="AU102" s="15"/>
      <c r="AV102" s="13">
        <f>'BC UBND Huyện 15 hàng tháng'!P98</f>
        <v>100</v>
      </c>
    </row>
    <row r="103" spans="1:48" s="322" customFormat="1" ht="94.5" customHeight="1">
      <c r="A103" s="8">
        <v>31</v>
      </c>
      <c r="B103" s="9" t="s">
        <v>191</v>
      </c>
      <c r="C103" s="15" t="s">
        <v>427</v>
      </c>
      <c r="D103" s="12">
        <f>'BC UBND Huyện 15 hàng tháng'!E99</f>
        <v>6422685</v>
      </c>
      <c r="E103" s="348"/>
      <c r="F103" s="348"/>
      <c r="G103" s="351">
        <f>SUM(H103:I103)</f>
        <v>5108000</v>
      </c>
      <c r="H103" s="348"/>
      <c r="I103" s="348">
        <f>'BC UBND Huyện 15 hàng tháng'!R99</f>
        <v>5108000</v>
      </c>
      <c r="J103" s="348">
        <f>SUM(K103:L103)</f>
        <v>0</v>
      </c>
      <c r="K103" s="349"/>
      <c r="L103" s="348">
        <f>'BC UBND Huyện 15 hàng tháng'!U99</f>
        <v>0</v>
      </c>
      <c r="M103" s="347">
        <f t="shared" si="38"/>
        <v>0</v>
      </c>
      <c r="N103" s="348">
        <f>AV103*D103/100</f>
        <v>0</v>
      </c>
      <c r="O103" s="468">
        <f>SUM(P103:Q103)</f>
        <v>0</v>
      </c>
      <c r="P103" s="469"/>
      <c r="Q103" s="469"/>
      <c r="R103" s="325"/>
      <c r="S103" s="325"/>
      <c r="T103" s="325"/>
      <c r="U103" s="325"/>
      <c r="V103" s="325"/>
      <c r="W103" s="325"/>
      <c r="X103" s="325"/>
      <c r="Y103" s="325"/>
      <c r="Z103" s="325"/>
      <c r="AA103" s="357" t="s">
        <v>71</v>
      </c>
      <c r="AB103" s="325"/>
      <c r="AC103" s="15"/>
      <c r="AD103" s="325"/>
      <c r="AE103" s="325"/>
      <c r="AF103" s="325"/>
      <c r="AG103" s="325"/>
      <c r="AH103" s="325"/>
      <c r="AI103" s="325"/>
      <c r="AJ103" s="325"/>
      <c r="AK103" s="325"/>
      <c r="AL103" s="325"/>
      <c r="AM103" s="325"/>
      <c r="AN103" s="325"/>
      <c r="AO103" s="325"/>
      <c r="AP103" s="325"/>
      <c r="AQ103" s="355">
        <f>'BC UBND Huyện 15 hàng tháng'!N99</f>
        <v>0</v>
      </c>
      <c r="AR103" s="15" t="str">
        <f>'BC UBND Huyện 15 hàng tháng'!X99</f>
        <v>Phê duyệt kế hoạch lựa chọn nhà thầu ngày 22/6/2021 (Phòng TCKH)</v>
      </c>
      <c r="AS103" s="357" t="s">
        <v>458</v>
      </c>
      <c r="AT103" s="357"/>
      <c r="AU103" s="357"/>
      <c r="AV103" s="13">
        <f>'BC UBND Huyện 15 hàng tháng'!P99</f>
        <v>0</v>
      </c>
    </row>
    <row r="104" spans="1:48" s="340" customFormat="1" ht="50.25" customHeight="1">
      <c r="A104" s="328" t="s">
        <v>41</v>
      </c>
      <c r="B104" s="329" t="s">
        <v>300</v>
      </c>
      <c r="C104" s="339"/>
      <c r="D104" s="358">
        <f>SUM(D105:D110)</f>
        <v>11685324</v>
      </c>
      <c r="E104" s="358">
        <f t="shared" ref="E104:L104" si="39">SUM(E105:E110)</f>
        <v>0</v>
      </c>
      <c r="F104" s="358">
        <f t="shared" si="39"/>
        <v>0</v>
      </c>
      <c r="G104" s="358">
        <f t="shared" si="39"/>
        <v>11132000</v>
      </c>
      <c r="H104" s="358">
        <f t="shared" si="39"/>
        <v>0</v>
      </c>
      <c r="I104" s="358">
        <f t="shared" si="39"/>
        <v>11132000</v>
      </c>
      <c r="J104" s="358">
        <f t="shared" si="39"/>
        <v>4490804</v>
      </c>
      <c r="K104" s="358">
        <f t="shared" si="39"/>
        <v>0</v>
      </c>
      <c r="L104" s="358">
        <f t="shared" si="39"/>
        <v>4490804</v>
      </c>
      <c r="M104" s="359">
        <f t="shared" si="38"/>
        <v>40.341394178943588</v>
      </c>
      <c r="N104" s="366">
        <f>SUM(N105:N110)</f>
        <v>4404880.6000000006</v>
      </c>
      <c r="O104" s="467">
        <f>SUM(O105:O110)</f>
        <v>0</v>
      </c>
      <c r="P104" s="467">
        <f>SUM(P105:P110)</f>
        <v>0</v>
      </c>
      <c r="Q104" s="467">
        <f>SUM(Q105:Q110)</f>
        <v>0</v>
      </c>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39"/>
      <c r="AP104" s="339"/>
      <c r="AQ104" s="354"/>
      <c r="AR104" s="339"/>
      <c r="AS104" s="354"/>
      <c r="AT104" s="354"/>
      <c r="AU104" s="354"/>
      <c r="AV104" s="354"/>
    </row>
    <row r="105" spans="1:48" s="323" customFormat="1" ht="63" customHeight="1">
      <c r="A105" s="51">
        <v>32</v>
      </c>
      <c r="B105" s="52" t="s">
        <v>238</v>
      </c>
      <c r="C105" s="15" t="s">
        <v>428</v>
      </c>
      <c r="D105" s="12">
        <f>'BC UBND Huyện 15 hàng tháng'!E101</f>
        <v>1878723</v>
      </c>
      <c r="E105" s="348"/>
      <c r="F105" s="348"/>
      <c r="G105" s="351">
        <f t="shared" ref="G105:G110" si="40">SUM(H105:I105)</f>
        <v>1789000</v>
      </c>
      <c r="H105" s="350"/>
      <c r="I105" s="348">
        <f>'BC UBND Huyện 15 hàng tháng'!R101</f>
        <v>1789000</v>
      </c>
      <c r="J105" s="348">
        <f t="shared" ref="J105:J110" si="41">SUM(K105:L105)</f>
        <v>623272</v>
      </c>
      <c r="K105" s="350"/>
      <c r="L105" s="348">
        <f>'BC UBND Huyện 15 hàng tháng'!U101</f>
        <v>623272</v>
      </c>
      <c r="M105" s="347">
        <f t="shared" ref="M105:M110" si="42">J105/G105*100</f>
        <v>34.839128004471767</v>
      </c>
      <c r="N105" s="348">
        <f t="shared" ref="N105:N110" si="43">AV105*D105/100</f>
        <v>356957.37</v>
      </c>
      <c r="O105" s="468">
        <f t="shared" ref="O105:O110" si="44">SUM(P105:Q105)</f>
        <v>0</v>
      </c>
      <c r="P105" s="470"/>
      <c r="Q105" s="470"/>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15"/>
      <c r="AQ105" s="355" t="str">
        <f>'BC UBND Huyện 15 hàng tháng'!N101</f>
        <v>Số 25/2021/HĐ-XD ngày 22/04/2021;  KC-HT: '29/04/2021-27/08/2021</v>
      </c>
      <c r="AR105" s="15" t="str">
        <f>'BC UBND Huyện 15 hàng tháng'!X101</f>
        <v>Đang đào đất</v>
      </c>
      <c r="AS105" s="356"/>
      <c r="AT105" s="15" t="s">
        <v>498</v>
      </c>
      <c r="AU105" s="15" t="s">
        <v>497</v>
      </c>
      <c r="AV105" s="13">
        <f>'BC UBND Huyện 15 hàng tháng'!P101</f>
        <v>19</v>
      </c>
    </row>
    <row r="106" spans="1:48" s="323" customFormat="1" ht="99" customHeight="1">
      <c r="A106" s="51">
        <v>33</v>
      </c>
      <c r="B106" s="52" t="s">
        <v>239</v>
      </c>
      <c r="C106" s="15" t="s">
        <v>428</v>
      </c>
      <c r="D106" s="12">
        <f>'BC UBND Huyện 15 hàng tháng'!E102</f>
        <v>4691345</v>
      </c>
      <c r="E106" s="348"/>
      <c r="F106" s="348"/>
      <c r="G106" s="351">
        <f t="shared" si="40"/>
        <v>4471000</v>
      </c>
      <c r="H106" s="350"/>
      <c r="I106" s="348">
        <f>'BC UBND Huyện 15 hàng tháng'!R102</f>
        <v>4471000</v>
      </c>
      <c r="J106" s="348">
        <f t="shared" si="41"/>
        <v>1189226</v>
      </c>
      <c r="K106" s="350"/>
      <c r="L106" s="348">
        <f>'BC UBND Huyện 15 hàng tháng'!U102</f>
        <v>1189226</v>
      </c>
      <c r="M106" s="347">
        <f t="shared" si="42"/>
        <v>26.598658018340416</v>
      </c>
      <c r="N106" s="348">
        <f t="shared" si="43"/>
        <v>703701.75</v>
      </c>
      <c r="O106" s="468">
        <f t="shared" si="44"/>
        <v>0</v>
      </c>
      <c r="P106" s="470"/>
      <c r="Q106" s="470"/>
      <c r="R106" s="324"/>
      <c r="S106" s="324"/>
      <c r="T106" s="324"/>
      <c r="U106" s="324"/>
      <c r="V106" s="324"/>
      <c r="W106" s="324"/>
      <c r="X106" s="324"/>
      <c r="Y106" s="324"/>
      <c r="Z106" s="324"/>
      <c r="AA106" s="324"/>
      <c r="AB106" s="324"/>
      <c r="AC106" s="324"/>
      <c r="AD106" s="324"/>
      <c r="AE106" s="324"/>
      <c r="AF106" s="324"/>
      <c r="AG106" s="324"/>
      <c r="AH106" s="324"/>
      <c r="AI106" s="324"/>
      <c r="AJ106" s="324"/>
      <c r="AK106" s="324"/>
      <c r="AL106" s="324"/>
      <c r="AM106" s="324"/>
      <c r="AN106" s="324"/>
      <c r="AO106" s="324"/>
      <c r="AP106" s="15"/>
      <c r="AQ106" s="355" t="str">
        <f>'BC UBND Huyện 15 hàng tháng'!N102</f>
        <v>Số 23/2021/HĐ-XD ngày 13/04/2021;  KC-HT: '20/04/2021-17/10/2021</v>
      </c>
      <c r="AR106" s="15" t="str">
        <f>'BC UBND Huyện 15 hàng tháng'!X102</f>
        <v>Đang lắp cống</v>
      </c>
      <c r="AS106" s="356"/>
      <c r="AT106" s="15" t="s">
        <v>498</v>
      </c>
      <c r="AU106" s="15" t="s">
        <v>497</v>
      </c>
      <c r="AV106" s="13">
        <f>'BC UBND Huyện 15 hàng tháng'!P102</f>
        <v>15</v>
      </c>
    </row>
    <row r="107" spans="1:48" s="322" customFormat="1" ht="94.5" customHeight="1">
      <c r="A107" s="8">
        <v>34</v>
      </c>
      <c r="B107" s="9" t="s">
        <v>240</v>
      </c>
      <c r="C107" s="15" t="s">
        <v>428</v>
      </c>
      <c r="D107" s="12">
        <f>'BC UBND Huyện 15 hàng tháng'!E103</f>
        <v>1027464</v>
      </c>
      <c r="E107" s="348"/>
      <c r="F107" s="348"/>
      <c r="G107" s="351">
        <f t="shared" si="40"/>
        <v>978000</v>
      </c>
      <c r="H107" s="348"/>
      <c r="I107" s="348">
        <f>'BC UBND Huyện 15 hàng tháng'!R103</f>
        <v>978000</v>
      </c>
      <c r="J107" s="348">
        <f t="shared" si="41"/>
        <v>645694</v>
      </c>
      <c r="K107" s="349"/>
      <c r="L107" s="348">
        <f>'BC UBND Huyện 15 hàng tháng'!U103</f>
        <v>645694</v>
      </c>
      <c r="M107" s="347">
        <f t="shared" si="42"/>
        <v>66.021881390593052</v>
      </c>
      <c r="N107" s="348">
        <f t="shared" si="43"/>
        <v>770598</v>
      </c>
      <c r="O107" s="468">
        <f t="shared" si="44"/>
        <v>0</v>
      </c>
      <c r="P107" s="469"/>
      <c r="Q107" s="469"/>
      <c r="R107" s="325"/>
      <c r="S107" s="325"/>
      <c r="T107" s="325"/>
      <c r="U107" s="325"/>
      <c r="V107" s="325"/>
      <c r="W107" s="325"/>
      <c r="X107" s="325"/>
      <c r="Y107" s="325"/>
      <c r="Z107" s="325"/>
      <c r="AA107" s="325"/>
      <c r="AB107" s="325"/>
      <c r="AC107" s="325"/>
      <c r="AD107" s="325"/>
      <c r="AE107" s="325"/>
      <c r="AF107" s="325"/>
      <c r="AG107" s="325"/>
      <c r="AH107" s="325"/>
      <c r="AI107" s="325"/>
      <c r="AJ107" s="325"/>
      <c r="AK107" s="325"/>
      <c r="AL107" s="325"/>
      <c r="AM107" s="325"/>
      <c r="AN107" s="325"/>
      <c r="AO107" s="325"/>
      <c r="AP107" s="325"/>
      <c r="AQ107" s="355" t="str">
        <f>'BC UBND Huyện 15 hàng tháng'!N103</f>
        <v>Số 14/2021/HĐ-XD ngày 19/03/2021;  KC-HT: '26/03/2021-24/07/2021</v>
      </c>
      <c r="AR107" s="15" t="str">
        <f>'BC UBND Huyện 15 hàng tháng'!X103</f>
        <v>Đang lót vỉa hè</v>
      </c>
      <c r="AS107" s="15" t="s">
        <v>459</v>
      </c>
      <c r="AT107" s="357"/>
      <c r="AU107" s="357"/>
      <c r="AV107" s="13">
        <f>'BC UBND Huyện 15 hàng tháng'!P103</f>
        <v>75</v>
      </c>
    </row>
    <row r="108" spans="1:48" s="322" customFormat="1" ht="94.5" customHeight="1">
      <c r="A108" s="8">
        <v>35</v>
      </c>
      <c r="B108" s="9" t="s">
        <v>241</v>
      </c>
      <c r="C108" s="15" t="s">
        <v>428</v>
      </c>
      <c r="D108" s="12">
        <f>'BC UBND Huyện 15 hàng tháng'!E104</f>
        <v>1464655</v>
      </c>
      <c r="E108" s="348"/>
      <c r="F108" s="348"/>
      <c r="G108" s="351">
        <f t="shared" si="40"/>
        <v>1395000</v>
      </c>
      <c r="H108" s="348"/>
      <c r="I108" s="348">
        <f>'BC UBND Huyện 15 hàng tháng'!R104</f>
        <v>1395000</v>
      </c>
      <c r="J108" s="348">
        <f t="shared" si="41"/>
        <v>750709</v>
      </c>
      <c r="K108" s="349"/>
      <c r="L108" s="348">
        <f>'BC UBND Huyện 15 hàng tháng'!U104</f>
        <v>750709</v>
      </c>
      <c r="M108" s="347">
        <f t="shared" si="42"/>
        <v>53.814265232974911</v>
      </c>
      <c r="N108" s="348">
        <f t="shared" si="43"/>
        <v>805560.25</v>
      </c>
      <c r="O108" s="468">
        <f t="shared" si="44"/>
        <v>0</v>
      </c>
      <c r="P108" s="469"/>
      <c r="Q108" s="469"/>
      <c r="R108" s="325"/>
      <c r="S108" s="325"/>
      <c r="T108" s="325"/>
      <c r="U108" s="325"/>
      <c r="V108" s="325"/>
      <c r="W108" s="325"/>
      <c r="X108" s="325"/>
      <c r="Y108" s="325"/>
      <c r="Z108" s="325"/>
      <c r="AA108" s="325"/>
      <c r="AB108" s="325"/>
      <c r="AC108" s="325"/>
      <c r="AD108" s="325"/>
      <c r="AE108" s="325"/>
      <c r="AF108" s="325"/>
      <c r="AG108" s="325"/>
      <c r="AH108" s="325"/>
      <c r="AI108" s="325"/>
      <c r="AJ108" s="325"/>
      <c r="AK108" s="325"/>
      <c r="AL108" s="325"/>
      <c r="AM108" s="325"/>
      <c r="AN108" s="325"/>
      <c r="AO108" s="325"/>
      <c r="AP108" s="357"/>
      <c r="AQ108" s="355" t="str">
        <f>'BC UBND Huyện 15 hàng tháng'!N104</f>
        <v>Số 26/2021/HĐ-XD ngày 27/04/2021;  KC-HT: '28/04/2021-26/08/2021</v>
      </c>
      <c r="AR108" s="15" t="str">
        <f>'BC UBND Huyện 15 hàng tháng'!X104</f>
        <v>Đang thi công</v>
      </c>
      <c r="AS108" s="15"/>
      <c r="AT108" s="357"/>
      <c r="AU108" s="357"/>
      <c r="AV108" s="13">
        <f>'BC UBND Huyện 15 hàng tháng'!P104</f>
        <v>55</v>
      </c>
    </row>
    <row r="109" spans="1:48" s="322" customFormat="1" ht="94.5" customHeight="1">
      <c r="A109" s="8">
        <v>36</v>
      </c>
      <c r="B109" s="9" t="s">
        <v>242</v>
      </c>
      <c r="C109" s="15" t="s">
        <v>428</v>
      </c>
      <c r="D109" s="12">
        <f>'BC UBND Huyện 15 hàng tháng'!E105</f>
        <v>774614</v>
      </c>
      <c r="E109" s="348"/>
      <c r="F109" s="348"/>
      <c r="G109" s="351">
        <f t="shared" si="40"/>
        <v>738000</v>
      </c>
      <c r="H109" s="348"/>
      <c r="I109" s="348">
        <f>'BC UBND Huyện 15 hàng tháng'!R105</f>
        <v>738000</v>
      </c>
      <c r="J109" s="348">
        <f t="shared" si="41"/>
        <v>627579</v>
      </c>
      <c r="K109" s="349"/>
      <c r="L109" s="348">
        <f>'BC UBND Huyện 15 hàng tháng'!U105</f>
        <v>627579</v>
      </c>
      <c r="M109" s="347">
        <f t="shared" si="42"/>
        <v>85.037804878048789</v>
      </c>
      <c r="N109" s="348">
        <f t="shared" si="43"/>
        <v>751375.58</v>
      </c>
      <c r="O109" s="468">
        <f t="shared" si="44"/>
        <v>0</v>
      </c>
      <c r="P109" s="469"/>
      <c r="Q109" s="469"/>
      <c r="R109" s="325"/>
      <c r="S109" s="325"/>
      <c r="T109" s="325"/>
      <c r="U109" s="325"/>
      <c r="V109" s="325"/>
      <c r="W109" s="325"/>
      <c r="X109" s="325"/>
      <c r="Y109" s="325"/>
      <c r="Z109" s="325"/>
      <c r="AA109" s="325"/>
      <c r="AB109" s="325"/>
      <c r="AC109" s="325"/>
      <c r="AD109" s="325"/>
      <c r="AE109" s="325"/>
      <c r="AF109" s="325"/>
      <c r="AG109" s="325"/>
      <c r="AH109" s="325"/>
      <c r="AI109" s="325"/>
      <c r="AJ109" s="325"/>
      <c r="AK109" s="325"/>
      <c r="AL109" s="325"/>
      <c r="AM109" s="325"/>
      <c r="AN109" s="325"/>
      <c r="AO109" s="325"/>
      <c r="AP109" s="325"/>
      <c r="AQ109" s="355" t="str">
        <f>'BC UBND Huyện 15 hàng tháng'!N105</f>
        <v>Số 15/2021/HĐ-XD ngày 19/03/2021;  KC-HT: '26/03/2021-24/07/2021</v>
      </c>
      <c r="AR109" s="15" t="str">
        <f>'BC UBND Huyện 15 hàng tháng'!X105</f>
        <v>Đang thi công đào nền bó vỉa hè và tường chắn vỉa hè</v>
      </c>
      <c r="AS109" s="15" t="s">
        <v>460</v>
      </c>
      <c r="AT109" s="357"/>
      <c r="AU109" s="357"/>
      <c r="AV109" s="13">
        <f>'BC UBND Huyện 15 hàng tháng'!P105</f>
        <v>97</v>
      </c>
    </row>
    <row r="110" spans="1:48" s="322" customFormat="1" ht="94.5" customHeight="1">
      <c r="A110" s="8">
        <v>37</v>
      </c>
      <c r="B110" s="9" t="s">
        <v>243</v>
      </c>
      <c r="C110" s="15" t="s">
        <v>428</v>
      </c>
      <c r="D110" s="12">
        <f>'BC UBND Huyện 15 hàng tháng'!E106</f>
        <v>1848523</v>
      </c>
      <c r="E110" s="348"/>
      <c r="F110" s="348"/>
      <c r="G110" s="351">
        <f t="shared" si="40"/>
        <v>1761000</v>
      </c>
      <c r="H110" s="348"/>
      <c r="I110" s="348">
        <f>'BC UBND Huyện 15 hàng tháng'!R106</f>
        <v>1761000</v>
      </c>
      <c r="J110" s="348">
        <f t="shared" si="41"/>
        <v>654324</v>
      </c>
      <c r="K110" s="349"/>
      <c r="L110" s="348">
        <f>'BC UBND Huyện 15 hàng tháng'!U106</f>
        <v>654324</v>
      </c>
      <c r="M110" s="347">
        <f t="shared" si="42"/>
        <v>37.156388415672915</v>
      </c>
      <c r="N110" s="348">
        <f t="shared" si="43"/>
        <v>1016687.65</v>
      </c>
      <c r="O110" s="468">
        <f t="shared" si="44"/>
        <v>0</v>
      </c>
      <c r="P110" s="469"/>
      <c r="Q110" s="469"/>
      <c r="R110" s="325"/>
      <c r="S110" s="325"/>
      <c r="T110" s="325"/>
      <c r="U110" s="325"/>
      <c r="V110" s="325"/>
      <c r="W110" s="325"/>
      <c r="X110" s="325"/>
      <c r="Y110" s="325"/>
      <c r="Z110" s="325"/>
      <c r="AA110" s="325"/>
      <c r="AB110" s="325"/>
      <c r="AC110" s="325"/>
      <c r="AD110" s="325"/>
      <c r="AE110" s="325"/>
      <c r="AF110" s="325"/>
      <c r="AG110" s="325"/>
      <c r="AH110" s="325"/>
      <c r="AI110" s="325"/>
      <c r="AJ110" s="325"/>
      <c r="AK110" s="325"/>
      <c r="AL110" s="325"/>
      <c r="AM110" s="325"/>
      <c r="AN110" s="325"/>
      <c r="AO110" s="325"/>
      <c r="AP110" s="325"/>
      <c r="AQ110" s="355" t="str">
        <f>'BC UBND Huyện 15 hàng tháng'!N106</f>
        <v>Số 27/2021/HĐ-XD ngày 27/04/2021;  KC-HT: '28/04/2021-26/08/2021</v>
      </c>
      <c r="AR110" s="15" t="str">
        <f>'BC UBND Huyện 15 hàng tháng'!X106</f>
        <v>Đang lót vỉa hè</v>
      </c>
      <c r="AS110" s="15"/>
      <c r="AT110" s="15" t="s">
        <v>498</v>
      </c>
      <c r="AU110" s="15" t="s">
        <v>497</v>
      </c>
      <c r="AV110" s="13">
        <f>'BC UBND Huyện 15 hàng tháng'!P106</f>
        <v>55</v>
      </c>
    </row>
    <row r="111" spans="1:48" s="340" customFormat="1" ht="31.5" customHeight="1">
      <c r="A111" s="328" t="s">
        <v>45</v>
      </c>
      <c r="B111" s="329" t="s">
        <v>192</v>
      </c>
      <c r="C111" s="339"/>
      <c r="D111" s="358">
        <f>SUM(D112:D126)</f>
        <v>7610335</v>
      </c>
      <c r="E111" s="358">
        <f t="shared" ref="E111:L111" si="45">SUM(E112:E126)</f>
        <v>0</v>
      </c>
      <c r="F111" s="358">
        <f t="shared" si="45"/>
        <v>0</v>
      </c>
      <c r="G111" s="358">
        <f t="shared" si="45"/>
        <v>13652000</v>
      </c>
      <c r="H111" s="358">
        <f t="shared" si="45"/>
        <v>0</v>
      </c>
      <c r="I111" s="358">
        <f t="shared" si="45"/>
        <v>13652000</v>
      </c>
      <c r="J111" s="358">
        <f t="shared" si="45"/>
        <v>0</v>
      </c>
      <c r="K111" s="358">
        <f t="shared" si="45"/>
        <v>0</v>
      </c>
      <c r="L111" s="358">
        <f t="shared" si="45"/>
        <v>0</v>
      </c>
      <c r="M111" s="359">
        <f>J111/G111*100</f>
        <v>0</v>
      </c>
      <c r="N111" s="366">
        <f>SUM(N112:N126)</f>
        <v>0</v>
      </c>
      <c r="O111" s="467">
        <f>SUM(O112:O126)</f>
        <v>0</v>
      </c>
      <c r="P111" s="467">
        <f>SUM(P112:P126)</f>
        <v>0</v>
      </c>
      <c r="Q111" s="467">
        <f>SUM(Q112:Q126)</f>
        <v>0</v>
      </c>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Q111" s="354"/>
      <c r="AR111" s="339"/>
      <c r="AS111" s="354"/>
      <c r="AT111" s="354"/>
      <c r="AU111" s="354"/>
      <c r="AV111" s="354"/>
    </row>
    <row r="112" spans="1:48" s="323" customFormat="1" ht="36.75" customHeight="1">
      <c r="A112" s="51">
        <v>38</v>
      </c>
      <c r="B112" s="52" t="s">
        <v>193</v>
      </c>
      <c r="C112" s="15" t="s">
        <v>423</v>
      </c>
      <c r="D112" s="12">
        <f>'BC UBND Huyện 15 hàng tháng'!E108</f>
        <v>688082</v>
      </c>
      <c r="E112" s="348"/>
      <c r="F112" s="348"/>
      <c r="G112" s="351">
        <f t="shared" ref="G112:G126" si="46">SUM(H112:I112)</f>
        <v>720000</v>
      </c>
      <c r="H112" s="350"/>
      <c r="I112" s="348">
        <f>'BC UBND Huyện 15 hàng tháng'!R108</f>
        <v>720000</v>
      </c>
      <c r="J112" s="348">
        <f t="shared" ref="J112:J126" si="47">SUM(K112:L112)</f>
        <v>0</v>
      </c>
      <c r="K112" s="350"/>
      <c r="L112" s="348">
        <f>'BC UBND Huyện 15 hàng tháng'!U108</f>
        <v>0</v>
      </c>
      <c r="M112" s="347">
        <f t="shared" ref="M112:M126" si="48">J112/G112*100</f>
        <v>0</v>
      </c>
      <c r="N112" s="348">
        <f t="shared" ref="N112:N126" si="49">AV112*D112/100</f>
        <v>0</v>
      </c>
      <c r="O112" s="468">
        <f t="shared" ref="O112:O126" si="50">SUM(P112:Q112)</f>
        <v>0</v>
      </c>
      <c r="P112" s="470"/>
      <c r="Q112" s="470"/>
      <c r="R112" s="324"/>
      <c r="S112" s="324"/>
      <c r="T112" s="324"/>
      <c r="U112" s="324"/>
      <c r="V112" s="324"/>
      <c r="W112" s="324"/>
      <c r="X112" s="324"/>
      <c r="Y112" s="15"/>
      <c r="Z112" s="15"/>
      <c r="AA112" s="356" t="s">
        <v>71</v>
      </c>
      <c r="AB112" s="324"/>
      <c r="AC112" s="324"/>
      <c r="AD112" s="324"/>
      <c r="AE112" s="324"/>
      <c r="AF112" s="324"/>
      <c r="AG112" s="324"/>
      <c r="AH112" s="324"/>
      <c r="AI112" s="324"/>
      <c r="AJ112" s="324"/>
      <c r="AK112" s="324"/>
      <c r="AL112" s="324"/>
      <c r="AM112" s="324"/>
      <c r="AN112" s="324"/>
      <c r="AO112" s="324"/>
      <c r="AP112" s="324"/>
      <c r="AQ112" s="355">
        <f>'BC UBND Huyện 15 hàng tháng'!N108</f>
        <v>0</v>
      </c>
      <c r="AR112" s="15" t="str">
        <f>'BC UBND Huyện 15 hàng tháng'!X108</f>
        <v>Phê duyệt BC KTKT (29/6/2021)</v>
      </c>
      <c r="AS112" s="356"/>
      <c r="AT112" s="356"/>
      <c r="AU112" s="356"/>
      <c r="AV112" s="13">
        <f>'BC UBND Huyện 15 hàng tháng'!P108</f>
        <v>0</v>
      </c>
    </row>
    <row r="113" spans="1:48" s="323" customFormat="1" ht="54" customHeight="1">
      <c r="A113" s="51">
        <v>39</v>
      </c>
      <c r="B113" s="52" t="s">
        <v>194</v>
      </c>
      <c r="C113" s="15" t="s">
        <v>423</v>
      </c>
      <c r="D113" s="12">
        <f>'BC UBND Huyện 15 hàng tháng'!E109</f>
        <v>0</v>
      </c>
      <c r="E113" s="348"/>
      <c r="F113" s="348"/>
      <c r="G113" s="351">
        <f t="shared" si="46"/>
        <v>300000</v>
      </c>
      <c r="H113" s="350"/>
      <c r="I113" s="348">
        <f>'BC UBND Huyện 15 hàng tháng'!R109</f>
        <v>300000</v>
      </c>
      <c r="J113" s="348">
        <f t="shared" si="47"/>
        <v>0</v>
      </c>
      <c r="K113" s="350"/>
      <c r="L113" s="348">
        <f>'BC UBND Huyện 15 hàng tháng'!U109</f>
        <v>0</v>
      </c>
      <c r="M113" s="347">
        <f t="shared" si="48"/>
        <v>0</v>
      </c>
      <c r="N113" s="348">
        <f t="shared" si="49"/>
        <v>0</v>
      </c>
      <c r="O113" s="468">
        <f t="shared" si="50"/>
        <v>0</v>
      </c>
      <c r="P113" s="470"/>
      <c r="Q113" s="470"/>
      <c r="R113" s="324"/>
      <c r="S113" s="324"/>
      <c r="T113" s="324"/>
      <c r="U113" s="324"/>
      <c r="V113" s="324"/>
      <c r="W113" s="324"/>
      <c r="X113" s="324"/>
      <c r="Y113" s="15"/>
      <c r="Z113" s="15" t="s">
        <v>71</v>
      </c>
      <c r="AA113" s="324"/>
      <c r="AB113" s="324"/>
      <c r="AC113" s="324"/>
      <c r="AD113" s="324"/>
      <c r="AE113" s="324"/>
      <c r="AF113" s="324"/>
      <c r="AG113" s="324"/>
      <c r="AH113" s="324"/>
      <c r="AI113" s="324"/>
      <c r="AJ113" s="324"/>
      <c r="AK113" s="324"/>
      <c r="AL113" s="324"/>
      <c r="AM113" s="324"/>
      <c r="AN113" s="324"/>
      <c r="AO113" s="324"/>
      <c r="AP113" s="324"/>
      <c r="AQ113" s="355">
        <f>'BC UBND Huyện 15 hàng tháng'!N109</f>
        <v>0</v>
      </c>
      <c r="AR113" s="15" t="str">
        <f>'BC UBND Huyện 15 hàng tháng'!X109</f>
        <v>Đang xin ý kiến đầu tư tại Sở GTVT</v>
      </c>
      <c r="AS113" s="356"/>
      <c r="AT113" s="356"/>
      <c r="AU113" s="356"/>
      <c r="AV113" s="13">
        <f>'BC UBND Huyện 15 hàng tháng'!P109</f>
        <v>0</v>
      </c>
    </row>
    <row r="114" spans="1:48" s="323" customFormat="1" ht="77.25" customHeight="1">
      <c r="A114" s="51">
        <v>40</v>
      </c>
      <c r="B114" s="9" t="s">
        <v>262</v>
      </c>
      <c r="C114" s="15" t="s">
        <v>423</v>
      </c>
      <c r="D114" s="12">
        <f>'BC UBND Huyện 15 hàng tháng'!E110</f>
        <v>365868</v>
      </c>
      <c r="E114" s="348"/>
      <c r="F114" s="348"/>
      <c r="G114" s="351">
        <f t="shared" si="46"/>
        <v>500000</v>
      </c>
      <c r="H114" s="350"/>
      <c r="I114" s="348">
        <f>'BC UBND Huyện 15 hàng tháng'!R110</f>
        <v>500000</v>
      </c>
      <c r="J114" s="348">
        <f t="shared" si="47"/>
        <v>0</v>
      </c>
      <c r="K114" s="350"/>
      <c r="L114" s="348">
        <f>'BC UBND Huyện 15 hàng tháng'!U110</f>
        <v>0</v>
      </c>
      <c r="M114" s="347">
        <f t="shared" si="48"/>
        <v>0</v>
      </c>
      <c r="N114" s="348">
        <f t="shared" si="49"/>
        <v>0</v>
      </c>
      <c r="O114" s="468">
        <f t="shared" si="50"/>
        <v>0</v>
      </c>
      <c r="P114" s="470"/>
      <c r="Q114" s="470"/>
      <c r="R114" s="324"/>
      <c r="S114" s="324"/>
      <c r="T114" s="324"/>
      <c r="U114" s="324"/>
      <c r="V114" s="324"/>
      <c r="W114" s="324"/>
      <c r="X114" s="324"/>
      <c r="Y114" s="15"/>
      <c r="Z114" s="15"/>
      <c r="AA114" s="15" t="s">
        <v>71</v>
      </c>
      <c r="AB114" s="324"/>
      <c r="AC114" s="324"/>
      <c r="AD114" s="324"/>
      <c r="AE114" s="324"/>
      <c r="AF114" s="324"/>
      <c r="AG114" s="324"/>
      <c r="AH114" s="324"/>
      <c r="AI114" s="324"/>
      <c r="AJ114" s="324"/>
      <c r="AK114" s="324"/>
      <c r="AL114" s="324"/>
      <c r="AM114" s="324"/>
      <c r="AN114" s="324"/>
      <c r="AO114" s="324"/>
      <c r="AP114" s="324"/>
      <c r="AQ114" s="355">
        <f>'BC UBND Huyện 15 hàng tháng'!N110</f>
        <v>0</v>
      </c>
      <c r="AR114" s="15" t="str">
        <f>'BC UBND Huyện 15 hàng tháng'!X110</f>
        <v>Phê duyệt BC KTKT (21/6/2021)</v>
      </c>
      <c r="AS114" s="356"/>
      <c r="AT114" s="356"/>
      <c r="AU114" s="356"/>
      <c r="AV114" s="13">
        <f>'BC UBND Huyện 15 hàng tháng'!P110</f>
        <v>0</v>
      </c>
    </row>
    <row r="115" spans="1:48" s="323" customFormat="1" ht="51">
      <c r="A115" s="51">
        <v>41</v>
      </c>
      <c r="B115" s="9" t="s">
        <v>195</v>
      </c>
      <c r="C115" s="15" t="s">
        <v>423</v>
      </c>
      <c r="D115" s="12">
        <f>'BC UBND Huyện 15 hàng tháng'!E111</f>
        <v>0</v>
      </c>
      <c r="E115" s="348"/>
      <c r="F115" s="348"/>
      <c r="G115" s="351">
        <f t="shared" si="46"/>
        <v>1500000</v>
      </c>
      <c r="H115" s="350"/>
      <c r="I115" s="348">
        <f>'BC UBND Huyện 15 hàng tháng'!R111</f>
        <v>1500000</v>
      </c>
      <c r="J115" s="348">
        <f t="shared" si="47"/>
        <v>0</v>
      </c>
      <c r="K115" s="350"/>
      <c r="L115" s="348">
        <f>'BC UBND Huyện 15 hàng tháng'!U111</f>
        <v>0</v>
      </c>
      <c r="M115" s="347">
        <f t="shared" si="48"/>
        <v>0</v>
      </c>
      <c r="N115" s="348">
        <f t="shared" si="49"/>
        <v>0</v>
      </c>
      <c r="O115" s="468">
        <f t="shared" si="50"/>
        <v>0</v>
      </c>
      <c r="P115" s="470"/>
      <c r="Q115" s="470"/>
      <c r="R115" s="324"/>
      <c r="S115" s="324"/>
      <c r="T115" s="324"/>
      <c r="U115" s="324"/>
      <c r="V115" s="324"/>
      <c r="W115" s="324"/>
      <c r="X115" s="324"/>
      <c r="Y115" s="15"/>
      <c r="Z115" s="15" t="s">
        <v>71</v>
      </c>
      <c r="AA115" s="324"/>
      <c r="AB115" s="324"/>
      <c r="AC115" s="324"/>
      <c r="AD115" s="324"/>
      <c r="AE115" s="324"/>
      <c r="AF115" s="324"/>
      <c r="AG115" s="324"/>
      <c r="AH115" s="324"/>
      <c r="AI115" s="324"/>
      <c r="AJ115" s="324"/>
      <c r="AK115" s="324"/>
      <c r="AL115" s="324"/>
      <c r="AM115" s="324"/>
      <c r="AN115" s="324"/>
      <c r="AO115" s="324"/>
      <c r="AP115" s="324"/>
      <c r="AQ115" s="355">
        <f>'BC UBND Huyện 15 hàng tháng'!N111</f>
        <v>0</v>
      </c>
      <c r="AR115" s="15" t="str">
        <f>'BC UBND Huyện 15 hàng tháng'!X111</f>
        <v>Đang thẩm tra</v>
      </c>
      <c r="AS115" s="356"/>
      <c r="AT115" s="356"/>
      <c r="AU115" s="356"/>
      <c r="AV115" s="13">
        <f>'BC UBND Huyện 15 hàng tháng'!P111</f>
        <v>0</v>
      </c>
    </row>
    <row r="116" spans="1:48" s="323" customFormat="1" ht="63.75">
      <c r="A116" s="51">
        <v>42</v>
      </c>
      <c r="B116" s="9" t="s">
        <v>196</v>
      </c>
      <c r="C116" s="15" t="s">
        <v>423</v>
      </c>
      <c r="D116" s="12">
        <f>'BC UBND Huyện 15 hàng tháng'!E112</f>
        <v>1997393</v>
      </c>
      <c r="E116" s="348"/>
      <c r="F116" s="348"/>
      <c r="G116" s="351">
        <f t="shared" si="46"/>
        <v>2432000</v>
      </c>
      <c r="H116" s="350"/>
      <c r="I116" s="348">
        <f>'BC UBND Huyện 15 hàng tháng'!R112</f>
        <v>2432000</v>
      </c>
      <c r="J116" s="348">
        <f t="shared" si="47"/>
        <v>0</v>
      </c>
      <c r="K116" s="350"/>
      <c r="L116" s="348">
        <f>'BC UBND Huyện 15 hàng tháng'!U112</f>
        <v>0</v>
      </c>
      <c r="M116" s="347">
        <f t="shared" si="48"/>
        <v>0</v>
      </c>
      <c r="N116" s="348">
        <f t="shared" si="49"/>
        <v>0</v>
      </c>
      <c r="O116" s="468">
        <f t="shared" si="50"/>
        <v>0</v>
      </c>
      <c r="P116" s="470"/>
      <c r="Q116" s="470"/>
      <c r="R116" s="324"/>
      <c r="S116" s="324"/>
      <c r="T116" s="324"/>
      <c r="U116" s="324"/>
      <c r="V116" s="324"/>
      <c r="W116" s="15"/>
      <c r="X116" s="324"/>
      <c r="Y116" s="324"/>
      <c r="Z116" s="15"/>
      <c r="AA116" s="15" t="s">
        <v>71</v>
      </c>
      <c r="AB116" s="324"/>
      <c r="AC116" s="324"/>
      <c r="AD116" s="324"/>
      <c r="AE116" s="324"/>
      <c r="AF116" s="324"/>
      <c r="AG116" s="324"/>
      <c r="AH116" s="324"/>
      <c r="AI116" s="324"/>
      <c r="AJ116" s="324"/>
      <c r="AK116" s="324"/>
      <c r="AL116" s="324"/>
      <c r="AM116" s="324"/>
      <c r="AN116" s="324"/>
      <c r="AO116" s="324"/>
      <c r="AP116" s="324"/>
      <c r="AQ116" s="355">
        <f>'BC UBND Huyện 15 hàng tháng'!N112</f>
        <v>0</v>
      </c>
      <c r="AR116" s="15" t="str">
        <f>'BC UBND Huyện 15 hàng tháng'!X112</f>
        <v>Phê duyệt BC KTKT (29/6/2021)</v>
      </c>
      <c r="AS116" s="356"/>
      <c r="AT116" s="356"/>
      <c r="AU116" s="356"/>
      <c r="AV116" s="13">
        <f>'BC UBND Huyện 15 hàng tháng'!P112</f>
        <v>0</v>
      </c>
    </row>
    <row r="117" spans="1:48" s="323" customFormat="1" ht="61.5" customHeight="1">
      <c r="A117" s="51">
        <v>43</v>
      </c>
      <c r="B117" s="9" t="s">
        <v>197</v>
      </c>
      <c r="C117" s="15" t="s">
        <v>423</v>
      </c>
      <c r="D117" s="12">
        <f>'BC UBND Huyện 15 hàng tháng'!E113</f>
        <v>3049262</v>
      </c>
      <c r="E117" s="348"/>
      <c r="F117" s="348"/>
      <c r="G117" s="351">
        <f t="shared" si="46"/>
        <v>1090000</v>
      </c>
      <c r="H117" s="350"/>
      <c r="I117" s="348">
        <f>'BC UBND Huyện 15 hàng tháng'!R113</f>
        <v>1090000</v>
      </c>
      <c r="J117" s="348">
        <f t="shared" si="47"/>
        <v>0</v>
      </c>
      <c r="K117" s="350"/>
      <c r="L117" s="348">
        <f>'BC UBND Huyện 15 hàng tháng'!U113</f>
        <v>0</v>
      </c>
      <c r="M117" s="347">
        <f t="shared" si="48"/>
        <v>0</v>
      </c>
      <c r="N117" s="348">
        <f t="shared" si="49"/>
        <v>0</v>
      </c>
      <c r="O117" s="468">
        <f t="shared" si="50"/>
        <v>0</v>
      </c>
      <c r="P117" s="470"/>
      <c r="Q117" s="470"/>
      <c r="R117" s="324"/>
      <c r="S117" s="324"/>
      <c r="T117" s="324"/>
      <c r="U117" s="324"/>
      <c r="V117" s="324"/>
      <c r="W117" s="15"/>
      <c r="X117" s="324"/>
      <c r="Y117" s="324"/>
      <c r="Z117" s="15"/>
      <c r="AA117" s="324"/>
      <c r="AB117" s="324"/>
      <c r="AC117" s="15" t="s">
        <v>71</v>
      </c>
      <c r="AD117" s="324"/>
      <c r="AE117" s="324"/>
      <c r="AF117" s="324"/>
      <c r="AG117" s="324"/>
      <c r="AH117" s="324"/>
      <c r="AI117" s="324"/>
      <c r="AJ117" s="324"/>
      <c r="AK117" s="324"/>
      <c r="AL117" s="324"/>
      <c r="AM117" s="324"/>
      <c r="AN117" s="324"/>
      <c r="AO117" s="324"/>
      <c r="AP117" s="324"/>
      <c r="AQ117" s="355">
        <f>'BC UBND Huyện 15 hàng tháng'!N113</f>
        <v>0</v>
      </c>
      <c r="AR117" s="15" t="str">
        <f>'BC UBND Huyện 15 hàng tháng'!X113</f>
        <v>Đang lập HSMT</v>
      </c>
      <c r="AS117" s="356"/>
      <c r="AT117" s="356"/>
      <c r="AU117" s="356"/>
      <c r="AV117" s="13">
        <f>'BC UBND Huyện 15 hàng tháng'!P113</f>
        <v>0</v>
      </c>
    </row>
    <row r="118" spans="1:48" s="323" customFormat="1" ht="42.75" customHeight="1">
      <c r="A118" s="51">
        <v>44</v>
      </c>
      <c r="B118" s="9" t="s">
        <v>198</v>
      </c>
      <c r="C118" s="15" t="s">
        <v>423</v>
      </c>
      <c r="D118" s="12">
        <f>'BC UBND Huyện 15 hàng tháng'!E114</f>
        <v>0</v>
      </c>
      <c r="E118" s="348"/>
      <c r="F118" s="348"/>
      <c r="G118" s="351">
        <f t="shared" si="46"/>
        <v>1500000</v>
      </c>
      <c r="H118" s="350"/>
      <c r="I118" s="348">
        <f>'BC UBND Huyện 15 hàng tháng'!R114</f>
        <v>1500000</v>
      </c>
      <c r="J118" s="348">
        <f t="shared" si="47"/>
        <v>0</v>
      </c>
      <c r="K118" s="350"/>
      <c r="L118" s="348">
        <f>'BC UBND Huyện 15 hàng tháng'!U114</f>
        <v>0</v>
      </c>
      <c r="M118" s="347">
        <f t="shared" si="48"/>
        <v>0</v>
      </c>
      <c r="N118" s="348">
        <f t="shared" si="49"/>
        <v>0</v>
      </c>
      <c r="O118" s="468">
        <f t="shared" si="50"/>
        <v>0</v>
      </c>
      <c r="P118" s="470"/>
      <c r="Q118" s="470"/>
      <c r="R118" s="324"/>
      <c r="S118" s="324"/>
      <c r="T118" s="324"/>
      <c r="U118" s="324"/>
      <c r="V118" s="324"/>
      <c r="W118" s="324"/>
      <c r="X118" s="324"/>
      <c r="Y118" s="15"/>
      <c r="Z118" s="15" t="s">
        <v>71</v>
      </c>
      <c r="AA118" s="324"/>
      <c r="AB118" s="324"/>
      <c r="AC118" s="324"/>
      <c r="AD118" s="324"/>
      <c r="AE118" s="324"/>
      <c r="AF118" s="324"/>
      <c r="AG118" s="324"/>
      <c r="AH118" s="324"/>
      <c r="AI118" s="324"/>
      <c r="AJ118" s="324"/>
      <c r="AK118" s="324"/>
      <c r="AL118" s="324"/>
      <c r="AM118" s="324"/>
      <c r="AN118" s="324"/>
      <c r="AO118" s="324"/>
      <c r="AP118" s="324"/>
      <c r="AQ118" s="355">
        <f>'BC UBND Huyện 15 hàng tháng'!N114</f>
        <v>0</v>
      </c>
      <c r="AR118" s="15" t="str">
        <f>'BC UBND Huyện 15 hàng tháng'!X114</f>
        <v>Đang triình thẩm định BCKTKT</v>
      </c>
      <c r="AS118" s="356"/>
      <c r="AT118" s="356"/>
      <c r="AU118" s="356"/>
      <c r="AV118" s="13">
        <f>'BC UBND Huyện 15 hàng tháng'!P114</f>
        <v>0</v>
      </c>
    </row>
    <row r="119" spans="1:48" s="323" customFormat="1" ht="42.75" customHeight="1">
      <c r="A119" s="51">
        <v>45</v>
      </c>
      <c r="B119" s="9" t="s">
        <v>199</v>
      </c>
      <c r="C119" s="15" t="s">
        <v>423</v>
      </c>
      <c r="D119" s="12">
        <f>'BC UBND Huyện 15 hàng tháng'!E115</f>
        <v>0</v>
      </c>
      <c r="E119" s="348"/>
      <c r="F119" s="348"/>
      <c r="G119" s="351">
        <f t="shared" si="46"/>
        <v>1600000</v>
      </c>
      <c r="H119" s="350"/>
      <c r="I119" s="348">
        <f>'BC UBND Huyện 15 hàng tháng'!R115</f>
        <v>1600000</v>
      </c>
      <c r="J119" s="348">
        <f t="shared" si="47"/>
        <v>0</v>
      </c>
      <c r="K119" s="350"/>
      <c r="L119" s="348">
        <f>'BC UBND Huyện 15 hàng tháng'!U115</f>
        <v>0</v>
      </c>
      <c r="M119" s="347">
        <f t="shared" si="48"/>
        <v>0</v>
      </c>
      <c r="N119" s="348">
        <f t="shared" si="49"/>
        <v>0</v>
      </c>
      <c r="O119" s="468">
        <f t="shared" si="50"/>
        <v>0</v>
      </c>
      <c r="P119" s="470"/>
      <c r="Q119" s="470"/>
      <c r="R119" s="324"/>
      <c r="S119" s="324"/>
      <c r="T119" s="324"/>
      <c r="U119" s="324"/>
      <c r="V119" s="324"/>
      <c r="W119" s="324"/>
      <c r="X119" s="324"/>
      <c r="Y119" s="15"/>
      <c r="Z119" s="15" t="s">
        <v>71</v>
      </c>
      <c r="AA119" s="324"/>
      <c r="AB119" s="324"/>
      <c r="AC119" s="324"/>
      <c r="AD119" s="324"/>
      <c r="AE119" s="324"/>
      <c r="AF119" s="324"/>
      <c r="AG119" s="324"/>
      <c r="AH119" s="324"/>
      <c r="AI119" s="324"/>
      <c r="AJ119" s="324"/>
      <c r="AK119" s="324"/>
      <c r="AL119" s="324"/>
      <c r="AM119" s="324"/>
      <c r="AN119" s="324"/>
      <c r="AO119" s="324"/>
      <c r="AP119" s="324"/>
      <c r="AQ119" s="355">
        <f>'BC UBND Huyện 15 hàng tháng'!N115</f>
        <v>0</v>
      </c>
      <c r="AR119" s="15" t="str">
        <f>'BC UBND Huyện 15 hàng tháng'!X115</f>
        <v>Đang triình thẩm định BCKTKT</v>
      </c>
      <c r="AS119" s="356"/>
      <c r="AT119" s="356"/>
      <c r="AU119" s="356"/>
      <c r="AV119" s="13">
        <f>'BC UBND Huyện 15 hàng tháng'!P115</f>
        <v>0</v>
      </c>
    </row>
    <row r="120" spans="1:48" s="323" customFormat="1" ht="110.25" customHeight="1">
      <c r="A120" s="51">
        <v>46</v>
      </c>
      <c r="B120" s="9" t="s">
        <v>200</v>
      </c>
      <c r="C120" s="15" t="s">
        <v>423</v>
      </c>
      <c r="D120" s="12">
        <f>'BC UBND Huyện 15 hàng tháng'!E116</f>
        <v>0</v>
      </c>
      <c r="E120" s="348"/>
      <c r="F120" s="348"/>
      <c r="G120" s="351">
        <f t="shared" si="46"/>
        <v>450000</v>
      </c>
      <c r="H120" s="350"/>
      <c r="I120" s="348">
        <f>'BC UBND Huyện 15 hàng tháng'!R116</f>
        <v>450000</v>
      </c>
      <c r="J120" s="348">
        <f t="shared" si="47"/>
        <v>0</v>
      </c>
      <c r="K120" s="350"/>
      <c r="L120" s="348">
        <f>'BC UBND Huyện 15 hàng tháng'!U116</f>
        <v>0</v>
      </c>
      <c r="M120" s="347">
        <f t="shared" si="48"/>
        <v>0</v>
      </c>
      <c r="N120" s="348">
        <f t="shared" si="49"/>
        <v>0</v>
      </c>
      <c r="O120" s="468">
        <f t="shared" si="50"/>
        <v>0</v>
      </c>
      <c r="P120" s="470"/>
      <c r="Q120" s="470"/>
      <c r="R120" s="324"/>
      <c r="S120" s="324"/>
      <c r="T120" s="324"/>
      <c r="U120" s="324"/>
      <c r="V120" s="324"/>
      <c r="W120" s="324"/>
      <c r="X120" s="324"/>
      <c r="Y120" s="15"/>
      <c r="Z120" s="15"/>
      <c r="AA120" s="324"/>
      <c r="AB120" s="324"/>
      <c r="AC120" s="324"/>
      <c r="AD120" s="324"/>
      <c r="AE120" s="324"/>
      <c r="AF120" s="324"/>
      <c r="AG120" s="324"/>
      <c r="AH120" s="324"/>
      <c r="AI120" s="324"/>
      <c r="AJ120" s="324"/>
      <c r="AK120" s="324"/>
      <c r="AL120" s="324"/>
      <c r="AM120" s="324"/>
      <c r="AN120" s="324"/>
      <c r="AO120" s="324"/>
      <c r="AP120" s="324"/>
      <c r="AQ120" s="355">
        <f>'BC UBND Huyện 15 hàng tháng'!N116</f>
        <v>0</v>
      </c>
      <c r="AR120" s="15" t="str">
        <f>'BC UBND Huyện 15 hàng tháng'!X116</f>
        <v>Trùng trong danh mục đầu tư NCCH mặt đê BĐ kênh Ngọn Cũ (Cầu Bào Lức đến kênh Giồng Nhỏ)</v>
      </c>
      <c r="AS120" s="356"/>
      <c r="AT120" s="356"/>
      <c r="AU120" s="356"/>
      <c r="AV120" s="13">
        <f>'BC UBND Huyện 15 hàng tháng'!P116</f>
        <v>0</v>
      </c>
    </row>
    <row r="121" spans="1:48" s="323" customFormat="1" ht="110.25" customHeight="1">
      <c r="A121" s="51">
        <v>47</v>
      </c>
      <c r="B121" s="9" t="s">
        <v>201</v>
      </c>
      <c r="C121" s="15" t="s">
        <v>423</v>
      </c>
      <c r="D121" s="12">
        <f>'BC UBND Huyện 15 hàng tháng'!E117</f>
        <v>0</v>
      </c>
      <c r="E121" s="348"/>
      <c r="F121" s="348"/>
      <c r="G121" s="351">
        <f t="shared" si="46"/>
        <v>450000</v>
      </c>
      <c r="H121" s="350"/>
      <c r="I121" s="348">
        <f>'BC UBND Huyện 15 hàng tháng'!R117</f>
        <v>450000</v>
      </c>
      <c r="J121" s="348">
        <f t="shared" si="47"/>
        <v>0</v>
      </c>
      <c r="K121" s="350"/>
      <c r="L121" s="348">
        <f>'BC UBND Huyện 15 hàng tháng'!U117</f>
        <v>0</v>
      </c>
      <c r="M121" s="347">
        <f t="shared" si="48"/>
        <v>0</v>
      </c>
      <c r="N121" s="348">
        <f t="shared" si="49"/>
        <v>0</v>
      </c>
      <c r="O121" s="468">
        <f t="shared" si="50"/>
        <v>0</v>
      </c>
      <c r="P121" s="470"/>
      <c r="Q121" s="470"/>
      <c r="R121" s="324"/>
      <c r="S121" s="324"/>
      <c r="T121" s="324"/>
      <c r="U121" s="324"/>
      <c r="V121" s="324"/>
      <c r="W121" s="324"/>
      <c r="X121" s="324"/>
      <c r="Y121" s="15"/>
      <c r="Z121" s="15" t="s">
        <v>71</v>
      </c>
      <c r="AA121" s="324"/>
      <c r="AB121" s="324"/>
      <c r="AC121" s="324"/>
      <c r="AD121" s="324"/>
      <c r="AE121" s="324"/>
      <c r="AF121" s="324"/>
      <c r="AG121" s="324"/>
      <c r="AH121" s="324"/>
      <c r="AI121" s="324"/>
      <c r="AJ121" s="324"/>
      <c r="AK121" s="324"/>
      <c r="AL121" s="324"/>
      <c r="AM121" s="324"/>
      <c r="AN121" s="324"/>
      <c r="AO121" s="324"/>
      <c r="AP121" s="324"/>
      <c r="AQ121" s="355">
        <f>'BC UBND Huyện 15 hàng tháng'!N117</f>
        <v>0</v>
      </c>
      <c r="AR121" s="15" t="str">
        <f>'BC UBND Huyện 15 hàng tháng'!X117</f>
        <v>Trùng trong danh mục đầu tư NCCH mặt đê BĐ kênh Ngọn Cũ (Cầu Bào Lức đến kênh Giồng Nhỏ)</v>
      </c>
      <c r="AS121" s="356"/>
      <c r="AT121" s="356"/>
      <c r="AU121" s="356"/>
      <c r="AV121" s="13">
        <f>'BC UBND Huyện 15 hàng tháng'!P117</f>
        <v>0</v>
      </c>
    </row>
    <row r="122" spans="1:48" s="323" customFormat="1" ht="42.75" customHeight="1">
      <c r="A122" s="51">
        <v>48</v>
      </c>
      <c r="B122" s="9" t="s">
        <v>202</v>
      </c>
      <c r="C122" s="15" t="s">
        <v>423</v>
      </c>
      <c r="D122" s="12">
        <f>'BC UBND Huyện 15 hàng tháng'!E118</f>
        <v>1047716</v>
      </c>
      <c r="E122" s="348"/>
      <c r="F122" s="348"/>
      <c r="G122" s="351">
        <f t="shared" si="46"/>
        <v>450000</v>
      </c>
      <c r="H122" s="350"/>
      <c r="I122" s="348">
        <f>'BC UBND Huyện 15 hàng tháng'!R118</f>
        <v>450000</v>
      </c>
      <c r="J122" s="348">
        <f t="shared" si="47"/>
        <v>0</v>
      </c>
      <c r="K122" s="350"/>
      <c r="L122" s="348">
        <f>'BC UBND Huyện 15 hàng tháng'!U118</f>
        <v>0</v>
      </c>
      <c r="M122" s="347">
        <f t="shared" si="48"/>
        <v>0</v>
      </c>
      <c r="N122" s="348">
        <f t="shared" si="49"/>
        <v>0</v>
      </c>
      <c r="O122" s="468">
        <f t="shared" si="50"/>
        <v>0</v>
      </c>
      <c r="P122" s="470"/>
      <c r="Q122" s="470"/>
      <c r="R122" s="324"/>
      <c r="S122" s="324"/>
      <c r="T122" s="324"/>
      <c r="U122" s="324"/>
      <c r="V122" s="324"/>
      <c r="W122" s="324"/>
      <c r="X122" s="324"/>
      <c r="Y122" s="15"/>
      <c r="Z122" s="15"/>
      <c r="AA122" s="15" t="s">
        <v>71</v>
      </c>
      <c r="AB122" s="324"/>
      <c r="AC122" s="324"/>
      <c r="AD122" s="324"/>
      <c r="AE122" s="324"/>
      <c r="AF122" s="324"/>
      <c r="AG122" s="324"/>
      <c r="AH122" s="324"/>
      <c r="AI122" s="324"/>
      <c r="AJ122" s="324"/>
      <c r="AK122" s="324"/>
      <c r="AL122" s="324"/>
      <c r="AM122" s="324"/>
      <c r="AN122" s="324"/>
      <c r="AO122" s="324"/>
      <c r="AP122" s="324"/>
      <c r="AQ122" s="355">
        <f>'BC UBND Huyện 15 hàng tháng'!N118</f>
        <v>0</v>
      </c>
      <c r="AR122" s="15" t="str">
        <f>'BC UBND Huyện 15 hàng tháng'!X118</f>
        <v>Phê duyệt BC KTKT (29/6/2021)</v>
      </c>
      <c r="AS122" s="356"/>
      <c r="AT122" s="356"/>
      <c r="AU122" s="356"/>
      <c r="AV122" s="13">
        <f>'BC UBND Huyện 15 hàng tháng'!P118</f>
        <v>0</v>
      </c>
    </row>
    <row r="123" spans="1:48" s="323" customFormat="1" ht="42.75" customHeight="1">
      <c r="A123" s="51">
        <v>49</v>
      </c>
      <c r="B123" s="9" t="s">
        <v>203</v>
      </c>
      <c r="C123" s="15" t="s">
        <v>423</v>
      </c>
      <c r="D123" s="12">
        <f>'BC UBND Huyện 15 hàng tháng'!E119</f>
        <v>462014</v>
      </c>
      <c r="E123" s="348"/>
      <c r="F123" s="348"/>
      <c r="G123" s="351">
        <f t="shared" si="46"/>
        <v>850000</v>
      </c>
      <c r="H123" s="350"/>
      <c r="I123" s="348">
        <f>'BC UBND Huyện 15 hàng tháng'!R119</f>
        <v>850000</v>
      </c>
      <c r="J123" s="348">
        <f t="shared" si="47"/>
        <v>0</v>
      </c>
      <c r="K123" s="350"/>
      <c r="L123" s="348">
        <f>'BC UBND Huyện 15 hàng tháng'!U119</f>
        <v>0</v>
      </c>
      <c r="M123" s="347">
        <f t="shared" si="48"/>
        <v>0</v>
      </c>
      <c r="N123" s="348">
        <f t="shared" si="49"/>
        <v>0</v>
      </c>
      <c r="O123" s="468">
        <f t="shared" si="50"/>
        <v>0</v>
      </c>
      <c r="P123" s="470"/>
      <c r="Q123" s="470"/>
      <c r="R123" s="324"/>
      <c r="S123" s="324"/>
      <c r="T123" s="324"/>
      <c r="U123" s="324"/>
      <c r="V123" s="324"/>
      <c r="W123" s="324"/>
      <c r="X123" s="324"/>
      <c r="Y123" s="15"/>
      <c r="Z123" s="15"/>
      <c r="AA123" s="15" t="s">
        <v>71</v>
      </c>
      <c r="AB123" s="324"/>
      <c r="AC123" s="324"/>
      <c r="AD123" s="324"/>
      <c r="AE123" s="324"/>
      <c r="AF123" s="324"/>
      <c r="AG123" s="324"/>
      <c r="AH123" s="324"/>
      <c r="AI123" s="324"/>
      <c r="AJ123" s="324"/>
      <c r="AK123" s="324"/>
      <c r="AL123" s="324"/>
      <c r="AM123" s="324"/>
      <c r="AN123" s="324"/>
      <c r="AO123" s="324"/>
      <c r="AP123" s="324"/>
      <c r="AQ123" s="355">
        <f>'BC UBND Huyện 15 hàng tháng'!N119</f>
        <v>0</v>
      </c>
      <c r="AR123" s="15" t="str">
        <f>'BC UBND Huyện 15 hàng tháng'!X119</f>
        <v>Phê duyệt TK BVTC (29/06/2021)</v>
      </c>
      <c r="AS123" s="356"/>
      <c r="AT123" s="356"/>
      <c r="AU123" s="356"/>
      <c r="AV123" s="13">
        <f>'BC UBND Huyện 15 hàng tháng'!P119</f>
        <v>0</v>
      </c>
    </row>
    <row r="124" spans="1:48" s="323" customFormat="1" ht="42.75" customHeight="1">
      <c r="A124" s="51">
        <v>50</v>
      </c>
      <c r="B124" s="9" t="s">
        <v>204</v>
      </c>
      <c r="C124" s="15" t="s">
        <v>423</v>
      </c>
      <c r="D124" s="12">
        <f>'BC UBND Huyện 15 hàng tháng'!E120</f>
        <v>0</v>
      </c>
      <c r="E124" s="348"/>
      <c r="F124" s="348"/>
      <c r="G124" s="351">
        <f t="shared" si="46"/>
        <v>610000</v>
      </c>
      <c r="H124" s="350"/>
      <c r="I124" s="348">
        <f>'BC UBND Huyện 15 hàng tháng'!R120</f>
        <v>610000</v>
      </c>
      <c r="J124" s="348">
        <f t="shared" si="47"/>
        <v>0</v>
      </c>
      <c r="K124" s="350"/>
      <c r="L124" s="348">
        <f>'BC UBND Huyện 15 hàng tháng'!U120</f>
        <v>0</v>
      </c>
      <c r="M124" s="347">
        <f t="shared" si="48"/>
        <v>0</v>
      </c>
      <c r="N124" s="348">
        <f t="shared" si="49"/>
        <v>0</v>
      </c>
      <c r="O124" s="468">
        <f t="shared" si="50"/>
        <v>0</v>
      </c>
      <c r="P124" s="470"/>
      <c r="Q124" s="470"/>
      <c r="R124" s="324"/>
      <c r="S124" s="324"/>
      <c r="T124" s="324"/>
      <c r="U124" s="324"/>
      <c r="V124" s="324"/>
      <c r="W124" s="324"/>
      <c r="X124" s="324"/>
      <c r="Y124" s="15"/>
      <c r="Z124" s="15" t="s">
        <v>71</v>
      </c>
      <c r="AA124" s="324"/>
      <c r="AB124" s="324"/>
      <c r="AC124" s="324"/>
      <c r="AD124" s="324"/>
      <c r="AE124" s="324"/>
      <c r="AF124" s="324"/>
      <c r="AG124" s="324"/>
      <c r="AH124" s="324"/>
      <c r="AI124" s="324"/>
      <c r="AJ124" s="324"/>
      <c r="AK124" s="324"/>
      <c r="AL124" s="324"/>
      <c r="AM124" s="324"/>
      <c r="AN124" s="324"/>
      <c r="AO124" s="324"/>
      <c r="AP124" s="324"/>
      <c r="AQ124" s="355">
        <f>'BC UBND Huyện 15 hàng tháng'!N120</f>
        <v>0</v>
      </c>
      <c r="AR124" s="15" t="str">
        <f>'BC UBND Huyện 15 hàng tháng'!X120</f>
        <v>Đang điều chỉnh HS theo KQ thẩm tra</v>
      </c>
      <c r="AS124" s="356"/>
      <c r="AT124" s="356"/>
      <c r="AU124" s="356"/>
      <c r="AV124" s="13">
        <f>'BC UBND Huyện 15 hàng tháng'!P120</f>
        <v>0</v>
      </c>
    </row>
    <row r="125" spans="1:48" s="323" customFormat="1" ht="42.75" customHeight="1">
      <c r="A125" s="51">
        <v>51</v>
      </c>
      <c r="B125" s="9" t="s">
        <v>205</v>
      </c>
      <c r="C125" s="15" t="s">
        <v>423</v>
      </c>
      <c r="D125" s="12">
        <f>'BC UBND Huyện 15 hàng tháng'!E121</f>
        <v>0</v>
      </c>
      <c r="E125" s="348"/>
      <c r="F125" s="348"/>
      <c r="G125" s="351">
        <f t="shared" si="46"/>
        <v>600000</v>
      </c>
      <c r="H125" s="350"/>
      <c r="I125" s="348">
        <f>'BC UBND Huyện 15 hàng tháng'!R121</f>
        <v>600000</v>
      </c>
      <c r="J125" s="348">
        <f t="shared" si="47"/>
        <v>0</v>
      </c>
      <c r="K125" s="350"/>
      <c r="L125" s="348">
        <f>'BC UBND Huyện 15 hàng tháng'!U121</f>
        <v>0</v>
      </c>
      <c r="M125" s="347">
        <f t="shared" si="48"/>
        <v>0</v>
      </c>
      <c r="N125" s="348">
        <f t="shared" si="49"/>
        <v>0</v>
      </c>
      <c r="O125" s="468">
        <f t="shared" si="50"/>
        <v>0</v>
      </c>
      <c r="P125" s="470"/>
      <c r="Q125" s="470"/>
      <c r="R125" s="324"/>
      <c r="S125" s="324"/>
      <c r="T125" s="324"/>
      <c r="U125" s="324"/>
      <c r="V125" s="324"/>
      <c r="W125" s="324"/>
      <c r="X125" s="324"/>
      <c r="Y125" s="15"/>
      <c r="Z125" s="15" t="s">
        <v>71</v>
      </c>
      <c r="AA125" s="324"/>
      <c r="AB125" s="324"/>
      <c r="AC125" s="324"/>
      <c r="AD125" s="324"/>
      <c r="AE125" s="324"/>
      <c r="AF125" s="324"/>
      <c r="AG125" s="324"/>
      <c r="AH125" s="324"/>
      <c r="AI125" s="324"/>
      <c r="AJ125" s="324"/>
      <c r="AK125" s="324"/>
      <c r="AL125" s="324"/>
      <c r="AM125" s="324"/>
      <c r="AN125" s="324"/>
      <c r="AO125" s="324"/>
      <c r="AP125" s="324"/>
      <c r="AQ125" s="355">
        <f>'BC UBND Huyện 15 hàng tháng'!N121</f>
        <v>0</v>
      </c>
      <c r="AR125" s="15" t="str">
        <f>'BC UBND Huyện 15 hàng tháng'!X121</f>
        <v>Đang lập HS trình thẩm định</v>
      </c>
      <c r="AS125" s="356"/>
      <c r="AT125" s="356"/>
      <c r="AU125" s="356"/>
      <c r="AV125" s="13">
        <f>'BC UBND Huyện 15 hàng tháng'!P121</f>
        <v>0</v>
      </c>
    </row>
    <row r="126" spans="1:48" s="323" customFormat="1" ht="42.75" customHeight="1">
      <c r="A126" s="51">
        <v>52</v>
      </c>
      <c r="B126" s="9" t="s">
        <v>206</v>
      </c>
      <c r="C126" s="15" t="s">
        <v>423</v>
      </c>
      <c r="D126" s="12">
        <f>'BC UBND Huyện 15 hàng tháng'!E122</f>
        <v>0</v>
      </c>
      <c r="E126" s="348"/>
      <c r="F126" s="348"/>
      <c r="G126" s="351">
        <f t="shared" si="46"/>
        <v>600000</v>
      </c>
      <c r="H126" s="350"/>
      <c r="I126" s="348">
        <f>'BC UBND Huyện 15 hàng tháng'!R122</f>
        <v>600000</v>
      </c>
      <c r="J126" s="348">
        <f t="shared" si="47"/>
        <v>0</v>
      </c>
      <c r="K126" s="350"/>
      <c r="L126" s="348">
        <f>'BC UBND Huyện 15 hàng tháng'!U122</f>
        <v>0</v>
      </c>
      <c r="M126" s="347">
        <f t="shared" si="48"/>
        <v>0</v>
      </c>
      <c r="N126" s="348">
        <f t="shared" si="49"/>
        <v>0</v>
      </c>
      <c r="O126" s="468">
        <f t="shared" si="50"/>
        <v>0</v>
      </c>
      <c r="P126" s="470"/>
      <c r="Q126" s="470"/>
      <c r="R126" s="324"/>
      <c r="S126" s="324"/>
      <c r="T126" s="324"/>
      <c r="U126" s="324"/>
      <c r="V126" s="324"/>
      <c r="W126" s="324"/>
      <c r="X126" s="324"/>
      <c r="Y126" s="15"/>
      <c r="Z126" s="15" t="s">
        <v>71</v>
      </c>
      <c r="AA126" s="324"/>
      <c r="AB126" s="324"/>
      <c r="AC126" s="324"/>
      <c r="AD126" s="324"/>
      <c r="AE126" s="324"/>
      <c r="AF126" s="324"/>
      <c r="AG126" s="324"/>
      <c r="AH126" s="324"/>
      <c r="AI126" s="324"/>
      <c r="AJ126" s="324"/>
      <c r="AK126" s="324"/>
      <c r="AL126" s="324"/>
      <c r="AM126" s="324"/>
      <c r="AN126" s="324"/>
      <c r="AO126" s="324"/>
      <c r="AP126" s="324"/>
      <c r="AQ126" s="355">
        <f>'BC UBND Huyện 15 hàng tháng'!N122</f>
        <v>0</v>
      </c>
      <c r="AR126" s="15" t="str">
        <f>'BC UBND Huyện 15 hàng tháng'!X122</f>
        <v>Thẩm định BC KTKT ngày 29/06/2021 (Phòng TCKH)</v>
      </c>
      <c r="AS126" s="356"/>
      <c r="AT126" s="356"/>
      <c r="AU126" s="356"/>
      <c r="AV126" s="13">
        <f>'BC UBND Huyện 15 hàng tháng'!P122</f>
        <v>0</v>
      </c>
    </row>
    <row r="127" spans="1:48" s="340" customFormat="1" ht="41.25" customHeight="1">
      <c r="A127" s="328" t="s">
        <v>59</v>
      </c>
      <c r="B127" s="329" t="s">
        <v>301</v>
      </c>
      <c r="C127" s="339"/>
      <c r="D127" s="358">
        <f>SUM(D128:D131)</f>
        <v>1606408</v>
      </c>
      <c r="E127" s="358">
        <f t="shared" ref="E127:L127" si="51">SUM(E128:E131)</f>
        <v>0</v>
      </c>
      <c r="F127" s="358">
        <f t="shared" si="51"/>
        <v>0</v>
      </c>
      <c r="G127" s="358">
        <f t="shared" si="51"/>
        <v>1720181</v>
      </c>
      <c r="H127" s="358">
        <f t="shared" si="51"/>
        <v>0</v>
      </c>
      <c r="I127" s="358">
        <f t="shared" si="51"/>
        <v>1720181</v>
      </c>
      <c r="J127" s="358">
        <f t="shared" si="51"/>
        <v>0</v>
      </c>
      <c r="K127" s="358">
        <f t="shared" si="51"/>
        <v>0</v>
      </c>
      <c r="L127" s="358">
        <f t="shared" si="51"/>
        <v>0</v>
      </c>
      <c r="M127" s="359">
        <f t="shared" ref="M127:M132" si="52">J127/G127*100</f>
        <v>0</v>
      </c>
      <c r="N127" s="366">
        <f>SUM(N128:N131)</f>
        <v>0</v>
      </c>
      <c r="O127" s="467">
        <f>SUM(O128:O131)</f>
        <v>0</v>
      </c>
      <c r="P127" s="467">
        <f>SUM(P128:P131)</f>
        <v>0</v>
      </c>
      <c r="Q127" s="467">
        <f>SUM(Q128:Q131)</f>
        <v>0</v>
      </c>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54"/>
      <c r="AR127" s="339"/>
      <c r="AS127" s="354"/>
      <c r="AT127" s="354"/>
      <c r="AU127" s="354"/>
      <c r="AV127" s="354"/>
    </row>
    <row r="128" spans="1:48" s="323" customFormat="1" ht="60.75" customHeight="1">
      <c r="A128" s="51">
        <v>53</v>
      </c>
      <c r="B128" s="9" t="s">
        <v>252</v>
      </c>
      <c r="C128" s="15" t="s">
        <v>423</v>
      </c>
      <c r="D128" s="12">
        <f>'BC UBND Huyện 15 hàng tháng'!E124</f>
        <v>0</v>
      </c>
      <c r="E128" s="348"/>
      <c r="F128" s="348"/>
      <c r="G128" s="351">
        <f>SUM(H128:I128)</f>
        <v>420181</v>
      </c>
      <c r="H128" s="350"/>
      <c r="I128" s="348">
        <f>'BC UBND Huyện 15 hàng tháng'!R124</f>
        <v>420181</v>
      </c>
      <c r="J128" s="348">
        <f>SUM(K128:L128)</f>
        <v>0</v>
      </c>
      <c r="K128" s="350"/>
      <c r="L128" s="348">
        <f>'BC UBND Huyện 15 hàng tháng'!U125</f>
        <v>0</v>
      </c>
      <c r="M128" s="347">
        <f t="shared" si="52"/>
        <v>0</v>
      </c>
      <c r="N128" s="348">
        <f>AV128*D128/100</f>
        <v>0</v>
      </c>
      <c r="O128" s="468">
        <f>SUM(P128:Q128)</f>
        <v>0</v>
      </c>
      <c r="P128" s="470"/>
      <c r="Q128" s="470"/>
      <c r="R128" s="324"/>
      <c r="S128" s="324"/>
      <c r="T128" s="324"/>
      <c r="U128" s="324"/>
      <c r="V128" s="324"/>
      <c r="W128" s="324"/>
      <c r="X128" s="324"/>
      <c r="Y128" s="15"/>
      <c r="Z128" s="15" t="s">
        <v>71</v>
      </c>
      <c r="AA128" s="324"/>
      <c r="AB128" s="324"/>
      <c r="AC128" s="324"/>
      <c r="AD128" s="324"/>
      <c r="AE128" s="324"/>
      <c r="AF128" s="324"/>
      <c r="AG128" s="324"/>
      <c r="AH128" s="324"/>
      <c r="AI128" s="324"/>
      <c r="AJ128" s="324"/>
      <c r="AK128" s="324"/>
      <c r="AL128" s="324"/>
      <c r="AM128" s="324"/>
      <c r="AN128" s="324"/>
      <c r="AO128" s="324"/>
      <c r="AP128" s="324"/>
      <c r="AQ128" s="355">
        <f>'BC UBND Huyện 15 hàng tháng'!N124</f>
        <v>0</v>
      </c>
      <c r="AR128" s="15" t="str">
        <f>'BC UBND Huyện 15 hàng tháng'!X124</f>
        <v>Thẩm định TK-DT ngày 23/06/2021 (Phòng KTHT)</v>
      </c>
      <c r="AS128" s="356"/>
      <c r="AT128" s="356"/>
      <c r="AU128" s="356"/>
      <c r="AV128" s="13">
        <f>'BC UBND Huyện 15 hàng tháng'!P124</f>
        <v>0</v>
      </c>
    </row>
    <row r="129" spans="1:48" s="323" customFormat="1" ht="63" customHeight="1">
      <c r="A129" s="51">
        <v>54</v>
      </c>
      <c r="B129" s="9" t="s">
        <v>253</v>
      </c>
      <c r="C129" s="15" t="s">
        <v>423</v>
      </c>
      <c r="D129" s="12">
        <f>'BC UBND Huyện 15 hàng tháng'!E125</f>
        <v>0</v>
      </c>
      <c r="E129" s="348"/>
      <c r="F129" s="348"/>
      <c r="G129" s="351">
        <f>SUM(H129:I129)</f>
        <v>200000</v>
      </c>
      <c r="H129" s="350"/>
      <c r="I129" s="348">
        <f>'BC UBND Huyện 15 hàng tháng'!R125</f>
        <v>200000</v>
      </c>
      <c r="J129" s="348">
        <f>SUM(K129:L129)</f>
        <v>0</v>
      </c>
      <c r="K129" s="350"/>
      <c r="L129" s="348">
        <f>'BC UBND Huyện 15 hàng tháng'!U126</f>
        <v>0</v>
      </c>
      <c r="M129" s="347">
        <f t="shared" si="52"/>
        <v>0</v>
      </c>
      <c r="N129" s="348">
        <f>AV129*D129/100</f>
        <v>0</v>
      </c>
      <c r="O129" s="468">
        <f>SUM(P129:Q129)</f>
        <v>0</v>
      </c>
      <c r="P129" s="470"/>
      <c r="Q129" s="470"/>
      <c r="R129" s="324"/>
      <c r="S129" s="324"/>
      <c r="T129" s="324"/>
      <c r="U129" s="324"/>
      <c r="V129" s="324"/>
      <c r="W129" s="324"/>
      <c r="X129" s="324"/>
      <c r="Y129" s="15"/>
      <c r="Z129" s="15" t="s">
        <v>71</v>
      </c>
      <c r="AA129" s="324"/>
      <c r="AB129" s="324"/>
      <c r="AC129" s="324"/>
      <c r="AD129" s="324"/>
      <c r="AE129" s="324"/>
      <c r="AF129" s="324"/>
      <c r="AG129" s="324"/>
      <c r="AH129" s="324"/>
      <c r="AI129" s="324"/>
      <c r="AJ129" s="324"/>
      <c r="AK129" s="324"/>
      <c r="AL129" s="324"/>
      <c r="AM129" s="324"/>
      <c r="AN129" s="324"/>
      <c r="AO129" s="324"/>
      <c r="AP129" s="324"/>
      <c r="AQ129" s="355">
        <f>'BC UBND Huyện 15 hàng tháng'!N125</f>
        <v>0</v>
      </c>
      <c r="AR129" s="15" t="str">
        <f>'BC UBND Huyện 15 hàng tháng'!X125</f>
        <v>Đang lập HS trình thẩm định</v>
      </c>
      <c r="AS129" s="356"/>
      <c r="AT129" s="356"/>
      <c r="AU129" s="356"/>
      <c r="AV129" s="13">
        <f>'BC UBND Huyện 15 hàng tháng'!P125</f>
        <v>0</v>
      </c>
    </row>
    <row r="130" spans="1:48" s="323" customFormat="1" ht="79.5" customHeight="1">
      <c r="A130" s="51">
        <v>55</v>
      </c>
      <c r="B130" s="9" t="s">
        <v>254</v>
      </c>
      <c r="C130" s="15" t="s">
        <v>423</v>
      </c>
      <c r="D130" s="12">
        <f>'BC UBND Huyện 15 hàng tháng'!E126</f>
        <v>584278</v>
      </c>
      <c r="E130" s="348"/>
      <c r="F130" s="348"/>
      <c r="G130" s="351">
        <f>SUM(H130:I130)</f>
        <v>350000</v>
      </c>
      <c r="H130" s="350"/>
      <c r="I130" s="348">
        <f>'BC UBND Huyện 15 hàng tháng'!R126</f>
        <v>350000</v>
      </c>
      <c r="J130" s="348">
        <f>SUM(K130:L130)</f>
        <v>0</v>
      </c>
      <c r="K130" s="350"/>
      <c r="L130" s="348">
        <f>'BC UBND Huyện 15 hàng tháng'!U127</f>
        <v>0</v>
      </c>
      <c r="M130" s="347">
        <f t="shared" si="52"/>
        <v>0</v>
      </c>
      <c r="N130" s="348">
        <f>AV130*D130/100</f>
        <v>0</v>
      </c>
      <c r="O130" s="468">
        <f>SUM(P130:Q130)</f>
        <v>0</v>
      </c>
      <c r="P130" s="470"/>
      <c r="Q130" s="470"/>
      <c r="R130" s="324"/>
      <c r="S130" s="324"/>
      <c r="T130" s="324"/>
      <c r="U130" s="324"/>
      <c r="V130" s="324"/>
      <c r="W130" s="324"/>
      <c r="X130" s="324"/>
      <c r="Y130" s="15"/>
      <c r="Z130" s="15"/>
      <c r="AA130" s="15" t="s">
        <v>71</v>
      </c>
      <c r="AB130" s="324"/>
      <c r="AC130" s="324"/>
      <c r="AD130" s="324"/>
      <c r="AE130" s="324"/>
      <c r="AF130" s="324"/>
      <c r="AG130" s="324"/>
      <c r="AH130" s="324"/>
      <c r="AI130" s="324"/>
      <c r="AJ130" s="324"/>
      <c r="AK130" s="324"/>
      <c r="AL130" s="324"/>
      <c r="AM130" s="324"/>
      <c r="AN130" s="324"/>
      <c r="AO130" s="324"/>
      <c r="AP130" s="324"/>
      <c r="AQ130" s="355">
        <f>'BC UBND Huyện 15 hàng tháng'!N126</f>
        <v>0</v>
      </c>
      <c r="AR130" s="15" t="str">
        <f>'BC UBND Huyện 15 hàng tháng'!X126</f>
        <v>Phê duyệt BC KTKT ngày 22/06/2021 (Phòng TCKH)</v>
      </c>
      <c r="AS130" s="356"/>
      <c r="AT130" s="356"/>
      <c r="AU130" s="356"/>
      <c r="AV130" s="13">
        <f>'BC UBND Huyện 15 hàng tháng'!P126</f>
        <v>0</v>
      </c>
    </row>
    <row r="131" spans="1:48" s="323" customFormat="1" ht="57" customHeight="1">
      <c r="A131" s="51">
        <v>56</v>
      </c>
      <c r="B131" s="9" t="s">
        <v>255</v>
      </c>
      <c r="C131" s="15" t="s">
        <v>423</v>
      </c>
      <c r="D131" s="12">
        <f>'BC UBND Huyện 15 hàng tháng'!E127</f>
        <v>1022130</v>
      </c>
      <c r="E131" s="348"/>
      <c r="F131" s="348"/>
      <c r="G131" s="351">
        <f>SUM(H131:I131)</f>
        <v>750000</v>
      </c>
      <c r="H131" s="350"/>
      <c r="I131" s="348">
        <f>'BC UBND Huyện 15 hàng tháng'!R127</f>
        <v>750000</v>
      </c>
      <c r="J131" s="348">
        <f>SUM(K131:L131)</f>
        <v>0</v>
      </c>
      <c r="K131" s="350"/>
      <c r="L131" s="348">
        <f>'BC UBND Huyện 15 hàng tháng'!U128</f>
        <v>0</v>
      </c>
      <c r="M131" s="347">
        <f t="shared" si="52"/>
        <v>0</v>
      </c>
      <c r="N131" s="348">
        <f>AV131*D131/100</f>
        <v>0</v>
      </c>
      <c r="O131" s="468">
        <f>SUM(P131:Q131)</f>
        <v>0</v>
      </c>
      <c r="P131" s="470"/>
      <c r="Q131" s="470"/>
      <c r="R131" s="324"/>
      <c r="S131" s="324"/>
      <c r="T131" s="324"/>
      <c r="U131" s="324"/>
      <c r="V131" s="324"/>
      <c r="W131" s="324"/>
      <c r="X131" s="324"/>
      <c r="Y131" s="15"/>
      <c r="Z131" s="15"/>
      <c r="AA131" s="15" t="s">
        <v>71</v>
      </c>
      <c r="AB131" s="324"/>
      <c r="AC131" s="324"/>
      <c r="AD131" s="324"/>
      <c r="AE131" s="324"/>
      <c r="AF131" s="324"/>
      <c r="AG131" s="324"/>
      <c r="AH131" s="324"/>
      <c r="AI131" s="324"/>
      <c r="AJ131" s="324"/>
      <c r="AK131" s="324"/>
      <c r="AL131" s="324"/>
      <c r="AM131" s="324"/>
      <c r="AN131" s="324"/>
      <c r="AO131" s="324"/>
      <c r="AP131" s="324"/>
      <c r="AQ131" s="355">
        <f>'BC UBND Huyện 15 hàng tháng'!N127</f>
        <v>0</v>
      </c>
      <c r="AR131" s="15" t="str">
        <f>'BC UBND Huyện 15 hàng tháng'!X127</f>
        <v>Phê duyệt BC KTKT (21/6/2021)</v>
      </c>
      <c r="AS131" s="356"/>
      <c r="AT131" s="356"/>
      <c r="AU131" s="356"/>
      <c r="AV131" s="13">
        <f>'BC UBND Huyện 15 hàng tháng'!P127</f>
        <v>0</v>
      </c>
    </row>
    <row r="132" spans="1:48" s="340" customFormat="1" ht="34.5" customHeight="1">
      <c r="A132" s="328" t="s">
        <v>256</v>
      </c>
      <c r="B132" s="329" t="s">
        <v>207</v>
      </c>
      <c r="C132" s="339"/>
      <c r="D132" s="358">
        <f>SUM(D133:D139)</f>
        <v>20128893</v>
      </c>
      <c r="E132" s="358">
        <f t="shared" ref="E132:L132" si="53">SUM(E133:E139)</f>
        <v>0</v>
      </c>
      <c r="F132" s="358">
        <f t="shared" si="53"/>
        <v>0</v>
      </c>
      <c r="G132" s="358">
        <f t="shared" si="53"/>
        <v>7748000</v>
      </c>
      <c r="H132" s="358">
        <f t="shared" si="53"/>
        <v>0</v>
      </c>
      <c r="I132" s="358">
        <f t="shared" si="53"/>
        <v>7748000</v>
      </c>
      <c r="J132" s="358">
        <f t="shared" si="53"/>
        <v>0</v>
      </c>
      <c r="K132" s="358">
        <f t="shared" si="53"/>
        <v>0</v>
      </c>
      <c r="L132" s="358">
        <f t="shared" si="53"/>
        <v>0</v>
      </c>
      <c r="M132" s="359">
        <f t="shared" si="52"/>
        <v>0</v>
      </c>
      <c r="N132" s="366">
        <f>SUM(N133:N139)</f>
        <v>0</v>
      </c>
      <c r="O132" s="467">
        <f>SUM(O133:O139)</f>
        <v>0</v>
      </c>
      <c r="P132" s="467">
        <f>SUM(P133:P139)</f>
        <v>0</v>
      </c>
      <c r="Q132" s="467">
        <f>SUM(Q133:Q139)</f>
        <v>0</v>
      </c>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54"/>
      <c r="AR132" s="339"/>
      <c r="AS132" s="354"/>
      <c r="AT132" s="354"/>
      <c r="AU132" s="354"/>
      <c r="AV132" s="354"/>
    </row>
    <row r="133" spans="1:48" s="323" customFormat="1" ht="42.75" customHeight="1">
      <c r="A133" s="51">
        <v>57</v>
      </c>
      <c r="B133" s="9" t="s">
        <v>208</v>
      </c>
      <c r="C133" s="15" t="s">
        <v>424</v>
      </c>
      <c r="D133" s="12">
        <f>'BC UBND Huyện 15 hàng tháng'!E129</f>
        <v>0</v>
      </c>
      <c r="E133" s="348"/>
      <c r="F133" s="348"/>
      <c r="G133" s="351">
        <f t="shared" ref="G133:G142" si="54">SUM(H133:I133)</f>
        <v>982000</v>
      </c>
      <c r="H133" s="350"/>
      <c r="I133" s="348">
        <f>'BC UBND Huyện 15 hàng tháng'!R129</f>
        <v>982000</v>
      </c>
      <c r="J133" s="348">
        <f t="shared" ref="J133:J142" si="55">SUM(K133:L133)</f>
        <v>0</v>
      </c>
      <c r="K133" s="350"/>
      <c r="L133" s="350">
        <f>'BC UBND Huyện 15 hàng tháng'!U129</f>
        <v>0</v>
      </c>
      <c r="M133" s="347">
        <f t="shared" ref="M133:M142" si="56">J133/G133*100</f>
        <v>0</v>
      </c>
      <c r="N133" s="348">
        <f t="shared" ref="N133:N139" si="57">AV133*D133/100</f>
        <v>0</v>
      </c>
      <c r="O133" s="468">
        <f t="shared" ref="O133:O142" si="58">SUM(P133:Q133)</f>
        <v>0</v>
      </c>
      <c r="P133" s="470"/>
      <c r="Q133" s="470"/>
      <c r="R133" s="324"/>
      <c r="S133" s="324"/>
      <c r="T133" s="324"/>
      <c r="U133" s="324"/>
      <c r="V133" s="324"/>
      <c r="W133" s="324"/>
      <c r="X133" s="324"/>
      <c r="Y133" s="15"/>
      <c r="Z133" s="15"/>
      <c r="AA133" s="324"/>
      <c r="AB133" s="324"/>
      <c r="AC133" s="324"/>
      <c r="AD133" s="324"/>
      <c r="AE133" s="324"/>
      <c r="AF133" s="324"/>
      <c r="AG133" s="324"/>
      <c r="AH133" s="324"/>
      <c r="AI133" s="324"/>
      <c r="AJ133" s="324"/>
      <c r="AK133" s="324"/>
      <c r="AL133" s="324"/>
      <c r="AM133" s="324"/>
      <c r="AN133" s="324"/>
      <c r="AO133" s="324"/>
      <c r="AP133" s="324"/>
      <c r="AQ133" s="355">
        <f>'BC UBND Huyện 15 hàng tháng'!N129</f>
        <v>0</v>
      </c>
      <c r="AR133" s="15" t="str">
        <f>'BC UBND Huyện 15 hàng tháng'!X129</f>
        <v>Đang lập HS trình thẩm định</v>
      </c>
      <c r="AS133" s="356"/>
      <c r="AT133" s="356"/>
      <c r="AU133" s="356"/>
      <c r="AV133" s="13">
        <f>'BC UBND Huyện 15 hàng tháng'!P129</f>
        <v>0</v>
      </c>
    </row>
    <row r="134" spans="1:48" s="323" customFormat="1" ht="56.25" customHeight="1">
      <c r="A134" s="51">
        <v>58</v>
      </c>
      <c r="B134" s="9" t="s">
        <v>209</v>
      </c>
      <c r="C134" s="15" t="s">
        <v>424</v>
      </c>
      <c r="D134" s="12">
        <f>'BC UBND Huyện 15 hàng tháng'!E130</f>
        <v>4184949</v>
      </c>
      <c r="E134" s="348"/>
      <c r="F134" s="348"/>
      <c r="G134" s="351">
        <f t="shared" si="54"/>
        <v>950000</v>
      </c>
      <c r="H134" s="350"/>
      <c r="I134" s="348">
        <f>'BC UBND Huyện 15 hàng tháng'!R130</f>
        <v>950000</v>
      </c>
      <c r="J134" s="348">
        <f t="shared" si="55"/>
        <v>0</v>
      </c>
      <c r="K134" s="350"/>
      <c r="L134" s="350">
        <f>'BC UBND Huyện 15 hàng tháng'!U130</f>
        <v>0</v>
      </c>
      <c r="M134" s="347">
        <f t="shared" si="56"/>
        <v>0</v>
      </c>
      <c r="N134" s="348">
        <f t="shared" si="57"/>
        <v>0</v>
      </c>
      <c r="O134" s="468">
        <f t="shared" si="58"/>
        <v>0</v>
      </c>
      <c r="P134" s="470"/>
      <c r="Q134" s="470"/>
      <c r="R134" s="324"/>
      <c r="S134" s="324"/>
      <c r="T134" s="324"/>
      <c r="U134" s="324"/>
      <c r="V134" s="324"/>
      <c r="W134" s="324"/>
      <c r="X134" s="324"/>
      <c r="Y134" s="15"/>
      <c r="Z134" s="15"/>
      <c r="AA134" s="324"/>
      <c r="AB134" s="324"/>
      <c r="AC134" s="15" t="s">
        <v>71</v>
      </c>
      <c r="AD134" s="324"/>
      <c r="AE134" s="324"/>
      <c r="AF134" s="324"/>
      <c r="AG134" s="324"/>
      <c r="AH134" s="324"/>
      <c r="AI134" s="324"/>
      <c r="AJ134" s="324"/>
      <c r="AK134" s="324"/>
      <c r="AL134" s="324"/>
      <c r="AM134" s="324"/>
      <c r="AN134" s="324"/>
      <c r="AO134" s="324"/>
      <c r="AP134" s="324"/>
      <c r="AQ134" s="355">
        <f>'BC UBND Huyện 15 hàng tháng'!N130</f>
        <v>0</v>
      </c>
      <c r="AR134" s="15" t="str">
        <f>'BC UBND Huyện 15 hàng tháng'!X130</f>
        <v>Đang lập HSMT</v>
      </c>
      <c r="AS134" s="356"/>
      <c r="AT134" s="356"/>
      <c r="AU134" s="356"/>
      <c r="AV134" s="13">
        <f>'BC UBND Huyện 15 hàng tháng'!P130</f>
        <v>0</v>
      </c>
    </row>
    <row r="135" spans="1:48" s="323" customFormat="1" ht="95.25" customHeight="1">
      <c r="A135" s="51">
        <v>59</v>
      </c>
      <c r="B135" s="9" t="s">
        <v>210</v>
      </c>
      <c r="C135" s="15" t="s">
        <v>424</v>
      </c>
      <c r="D135" s="12">
        <f>'BC UBND Huyện 15 hàng tháng'!E131</f>
        <v>1458765</v>
      </c>
      <c r="E135" s="348"/>
      <c r="F135" s="348"/>
      <c r="G135" s="351">
        <f t="shared" si="54"/>
        <v>500000</v>
      </c>
      <c r="H135" s="350"/>
      <c r="I135" s="348">
        <f>'BC UBND Huyện 15 hàng tháng'!R131</f>
        <v>500000</v>
      </c>
      <c r="J135" s="348">
        <f t="shared" si="55"/>
        <v>0</v>
      </c>
      <c r="K135" s="350"/>
      <c r="L135" s="350">
        <f>'BC UBND Huyện 15 hàng tháng'!U131</f>
        <v>0</v>
      </c>
      <c r="M135" s="347">
        <f t="shared" si="56"/>
        <v>0</v>
      </c>
      <c r="N135" s="348">
        <f t="shared" si="57"/>
        <v>0</v>
      </c>
      <c r="O135" s="468">
        <f t="shared" si="58"/>
        <v>0</v>
      </c>
      <c r="P135" s="470"/>
      <c r="Q135" s="470"/>
      <c r="R135" s="324"/>
      <c r="S135" s="324"/>
      <c r="T135" s="324"/>
      <c r="U135" s="324"/>
      <c r="V135" s="324"/>
      <c r="W135" s="324"/>
      <c r="X135" s="324"/>
      <c r="Y135" s="15"/>
      <c r="Z135" s="15"/>
      <c r="AA135" s="15" t="s">
        <v>71</v>
      </c>
      <c r="AB135" s="324"/>
      <c r="AC135" s="324"/>
      <c r="AD135" s="324"/>
      <c r="AE135" s="324"/>
      <c r="AF135" s="324"/>
      <c r="AG135" s="324"/>
      <c r="AH135" s="324"/>
      <c r="AI135" s="324"/>
      <c r="AJ135" s="324"/>
      <c r="AK135" s="324"/>
      <c r="AL135" s="324"/>
      <c r="AM135" s="324"/>
      <c r="AN135" s="324"/>
      <c r="AO135" s="324"/>
      <c r="AP135" s="324"/>
      <c r="AQ135" s="355">
        <f>'BC UBND Huyện 15 hàng tháng'!N131</f>
        <v>0</v>
      </c>
      <c r="AR135" s="15" t="str">
        <f>'BC UBND Huyện 15 hàng tháng'!X131</f>
        <v>Phê duyệt BC KTKT ngày 22/06/2021 (Phòng TCKH)</v>
      </c>
      <c r="AS135" s="356"/>
      <c r="AT135" s="356"/>
      <c r="AU135" s="356"/>
      <c r="AV135" s="13">
        <f>'BC UBND Huyện 15 hàng tháng'!P131</f>
        <v>0</v>
      </c>
    </row>
    <row r="136" spans="1:48" s="323" customFormat="1" ht="93.75" customHeight="1">
      <c r="A136" s="51">
        <v>60</v>
      </c>
      <c r="B136" s="9" t="s">
        <v>211</v>
      </c>
      <c r="C136" s="15" t="s">
        <v>424</v>
      </c>
      <c r="D136" s="12">
        <f>'BC UBND Huyện 15 hàng tháng'!E132</f>
        <v>1303927</v>
      </c>
      <c r="E136" s="348"/>
      <c r="F136" s="348"/>
      <c r="G136" s="351">
        <f t="shared" si="54"/>
        <v>500000</v>
      </c>
      <c r="H136" s="350"/>
      <c r="I136" s="348">
        <f>'BC UBND Huyện 15 hàng tháng'!R132</f>
        <v>500000</v>
      </c>
      <c r="J136" s="348">
        <f t="shared" si="55"/>
        <v>0</v>
      </c>
      <c r="K136" s="350"/>
      <c r="L136" s="350">
        <f>'BC UBND Huyện 15 hàng tháng'!U132</f>
        <v>0</v>
      </c>
      <c r="M136" s="347">
        <f t="shared" si="56"/>
        <v>0</v>
      </c>
      <c r="N136" s="348">
        <f t="shared" si="57"/>
        <v>0</v>
      </c>
      <c r="O136" s="468">
        <f t="shared" si="58"/>
        <v>0</v>
      </c>
      <c r="P136" s="470"/>
      <c r="Q136" s="470"/>
      <c r="R136" s="324"/>
      <c r="S136" s="324"/>
      <c r="T136" s="324"/>
      <c r="U136" s="324"/>
      <c r="V136" s="324"/>
      <c r="W136" s="324"/>
      <c r="X136" s="324"/>
      <c r="Y136" s="15"/>
      <c r="Z136" s="15"/>
      <c r="AA136" s="15" t="s">
        <v>71</v>
      </c>
      <c r="AB136" s="324"/>
      <c r="AC136" s="324"/>
      <c r="AD136" s="324"/>
      <c r="AE136" s="324"/>
      <c r="AF136" s="324"/>
      <c r="AG136" s="324"/>
      <c r="AH136" s="324"/>
      <c r="AI136" s="324"/>
      <c r="AJ136" s="324"/>
      <c r="AK136" s="324"/>
      <c r="AL136" s="324"/>
      <c r="AM136" s="324"/>
      <c r="AN136" s="324"/>
      <c r="AO136" s="324"/>
      <c r="AP136" s="324"/>
      <c r="AQ136" s="355">
        <f>'BC UBND Huyện 15 hàng tháng'!N132</f>
        <v>0</v>
      </c>
      <c r="AR136" s="15" t="str">
        <f>'BC UBND Huyện 15 hàng tháng'!X132</f>
        <v>Phê duyệt BC KTKT ngày 22/06/2021 (Phòng TCKH)</v>
      </c>
      <c r="AS136" s="356"/>
      <c r="AT136" s="356"/>
      <c r="AU136" s="356"/>
      <c r="AV136" s="13">
        <f>'BC UBND Huyện 15 hàng tháng'!P132</f>
        <v>0</v>
      </c>
    </row>
    <row r="137" spans="1:48" s="323" customFormat="1" ht="93.75" customHeight="1">
      <c r="A137" s="51">
        <v>61</v>
      </c>
      <c r="B137" s="9" t="s">
        <v>212</v>
      </c>
      <c r="C137" s="15" t="s">
        <v>424</v>
      </c>
      <c r="D137" s="12">
        <f>'BC UBND Huyện 15 hàng tháng'!E133</f>
        <v>0</v>
      </c>
      <c r="E137" s="348"/>
      <c r="F137" s="348"/>
      <c r="G137" s="351">
        <f t="shared" si="54"/>
        <v>600000</v>
      </c>
      <c r="H137" s="350"/>
      <c r="I137" s="348">
        <f>'BC UBND Huyện 15 hàng tháng'!R133</f>
        <v>600000</v>
      </c>
      <c r="J137" s="348">
        <f t="shared" si="55"/>
        <v>0</v>
      </c>
      <c r="K137" s="350"/>
      <c r="L137" s="350">
        <f>'BC UBND Huyện 15 hàng tháng'!U133</f>
        <v>0</v>
      </c>
      <c r="M137" s="347">
        <f t="shared" si="56"/>
        <v>0</v>
      </c>
      <c r="N137" s="348">
        <f t="shared" si="57"/>
        <v>0</v>
      </c>
      <c r="O137" s="468">
        <f t="shared" si="58"/>
        <v>0</v>
      </c>
      <c r="P137" s="470"/>
      <c r="Q137" s="470"/>
      <c r="R137" s="324"/>
      <c r="S137" s="324"/>
      <c r="T137" s="324"/>
      <c r="U137" s="324"/>
      <c r="V137" s="324"/>
      <c r="W137" s="324"/>
      <c r="X137" s="324"/>
      <c r="Y137" s="15"/>
      <c r="Z137" s="15"/>
      <c r="AA137" s="15" t="s">
        <v>71</v>
      </c>
      <c r="AB137" s="324"/>
      <c r="AC137" s="324"/>
      <c r="AD137" s="324"/>
      <c r="AE137" s="324"/>
      <c r="AF137" s="324"/>
      <c r="AG137" s="324"/>
      <c r="AH137" s="324"/>
      <c r="AI137" s="324"/>
      <c r="AJ137" s="324"/>
      <c r="AK137" s="324"/>
      <c r="AL137" s="324"/>
      <c r="AM137" s="324"/>
      <c r="AN137" s="324"/>
      <c r="AO137" s="324"/>
      <c r="AP137" s="324"/>
      <c r="AQ137" s="355">
        <f>'BC UBND Huyện 15 hàng tháng'!N133</f>
        <v>0</v>
      </c>
      <c r="AR137" s="15" t="str">
        <f>'BC UBND Huyện 15 hàng tháng'!X133</f>
        <v>Tạm ngưng chưa thực hiện</v>
      </c>
      <c r="AS137" s="356"/>
      <c r="AT137" s="356"/>
      <c r="AU137" s="356"/>
      <c r="AV137" s="13">
        <f>'BC UBND Huyện 15 hàng tháng'!P133</f>
        <v>0</v>
      </c>
    </row>
    <row r="138" spans="1:48" s="323" customFormat="1" ht="58.5" customHeight="1">
      <c r="A138" s="51">
        <v>62</v>
      </c>
      <c r="B138" s="9" t="s">
        <v>213</v>
      </c>
      <c r="C138" s="15" t="s">
        <v>424</v>
      </c>
      <c r="D138" s="12">
        <f>'BC UBND Huyện 15 hàng tháng'!E134</f>
        <v>686920</v>
      </c>
      <c r="E138" s="348"/>
      <c r="F138" s="348"/>
      <c r="G138" s="351">
        <f t="shared" si="54"/>
        <v>550000</v>
      </c>
      <c r="H138" s="350"/>
      <c r="I138" s="348">
        <f>'BC UBND Huyện 15 hàng tháng'!R134</f>
        <v>550000</v>
      </c>
      <c r="J138" s="348">
        <f t="shared" si="55"/>
        <v>0</v>
      </c>
      <c r="K138" s="350"/>
      <c r="L138" s="350">
        <f>'BC UBND Huyện 15 hàng tháng'!U134</f>
        <v>0</v>
      </c>
      <c r="M138" s="347">
        <f t="shared" si="56"/>
        <v>0</v>
      </c>
      <c r="N138" s="348">
        <f t="shared" si="57"/>
        <v>0</v>
      </c>
      <c r="O138" s="468">
        <f t="shared" si="58"/>
        <v>0</v>
      </c>
      <c r="P138" s="470"/>
      <c r="Q138" s="470"/>
      <c r="R138" s="324"/>
      <c r="S138" s="324"/>
      <c r="T138" s="324"/>
      <c r="U138" s="324"/>
      <c r="V138" s="324"/>
      <c r="W138" s="324"/>
      <c r="X138" s="324"/>
      <c r="Y138" s="15"/>
      <c r="Z138" s="15"/>
      <c r="AA138" s="15" t="s">
        <v>71</v>
      </c>
      <c r="AB138" s="324"/>
      <c r="AC138" s="324"/>
      <c r="AD138" s="324"/>
      <c r="AE138" s="324"/>
      <c r="AF138" s="324"/>
      <c r="AG138" s="324"/>
      <c r="AH138" s="324"/>
      <c r="AI138" s="324"/>
      <c r="AJ138" s="324"/>
      <c r="AK138" s="324"/>
      <c r="AL138" s="324"/>
      <c r="AM138" s="324"/>
      <c r="AN138" s="324"/>
      <c r="AO138" s="324"/>
      <c r="AP138" s="324"/>
      <c r="AQ138" s="355">
        <f>'BC UBND Huyện 15 hàng tháng'!N134</f>
        <v>0</v>
      </c>
      <c r="AR138" s="15" t="str">
        <f>'BC UBND Huyện 15 hàng tháng'!X134</f>
        <v>Phê duyệt BC KTKT (21/6/2021)</v>
      </c>
      <c r="AS138" s="356"/>
      <c r="AT138" s="356"/>
      <c r="AU138" s="356"/>
      <c r="AV138" s="13">
        <f>'BC UBND Huyện 15 hàng tháng'!P134</f>
        <v>0</v>
      </c>
    </row>
    <row r="139" spans="1:48" s="323" customFormat="1" ht="57.75" customHeight="1">
      <c r="A139" s="51">
        <v>63</v>
      </c>
      <c r="B139" s="9" t="s">
        <v>214</v>
      </c>
      <c r="C139" s="15" t="s">
        <v>424</v>
      </c>
      <c r="D139" s="12">
        <f>'BC UBND Huyện 15 hàng tháng'!E135</f>
        <v>12494332</v>
      </c>
      <c r="E139" s="348"/>
      <c r="F139" s="348"/>
      <c r="G139" s="351">
        <f t="shared" si="54"/>
        <v>3666000</v>
      </c>
      <c r="H139" s="350"/>
      <c r="I139" s="348">
        <f>'BC UBND Huyện 15 hàng tháng'!R135</f>
        <v>3666000</v>
      </c>
      <c r="J139" s="348">
        <f t="shared" si="55"/>
        <v>0</v>
      </c>
      <c r="K139" s="350"/>
      <c r="L139" s="350">
        <f>'BC UBND Huyện 15 hàng tháng'!U135</f>
        <v>0</v>
      </c>
      <c r="M139" s="347">
        <f t="shared" si="56"/>
        <v>0</v>
      </c>
      <c r="N139" s="348">
        <f t="shared" si="57"/>
        <v>0</v>
      </c>
      <c r="O139" s="468">
        <f t="shared" si="58"/>
        <v>0</v>
      </c>
      <c r="P139" s="470"/>
      <c r="Q139" s="470"/>
      <c r="R139" s="324"/>
      <c r="S139" s="324"/>
      <c r="T139" s="324"/>
      <c r="U139" s="324"/>
      <c r="V139" s="324"/>
      <c r="W139" s="324"/>
      <c r="X139" s="324"/>
      <c r="Y139" s="15"/>
      <c r="Z139" s="15"/>
      <c r="AA139" s="15" t="s">
        <v>71</v>
      </c>
      <c r="AB139" s="324"/>
      <c r="AC139" s="324"/>
      <c r="AD139" s="324"/>
      <c r="AE139" s="324"/>
      <c r="AF139" s="324"/>
      <c r="AG139" s="324"/>
      <c r="AH139" s="324"/>
      <c r="AI139" s="324"/>
      <c r="AJ139" s="324"/>
      <c r="AK139" s="324"/>
      <c r="AL139" s="324"/>
      <c r="AM139" s="324"/>
      <c r="AN139" s="324"/>
      <c r="AO139" s="324"/>
      <c r="AP139" s="324"/>
      <c r="AQ139" s="355">
        <f>'BC UBND Huyện 15 hàng tháng'!N135</f>
        <v>0</v>
      </c>
      <c r="AR139" s="15" t="str">
        <f>'BC UBND Huyện 15 hàng tháng'!X135</f>
        <v>Phê duyệt BC KTKT (21/6/2021)</v>
      </c>
      <c r="AS139" s="356"/>
      <c r="AT139" s="356"/>
      <c r="AU139" s="356"/>
      <c r="AV139" s="13">
        <f>'BC UBND Huyện 15 hàng tháng'!P135</f>
        <v>0</v>
      </c>
    </row>
    <row r="140" spans="1:48" s="368" customFormat="1" ht="57.75" customHeight="1">
      <c r="A140" s="369" t="s">
        <v>435</v>
      </c>
      <c r="B140" s="67" t="s">
        <v>434</v>
      </c>
      <c r="C140" s="82"/>
      <c r="D140" s="146">
        <f t="shared" ref="D140:L140" si="59">SUM(D141:D142)</f>
        <v>1494773</v>
      </c>
      <c r="E140" s="146">
        <f t="shared" si="59"/>
        <v>0</v>
      </c>
      <c r="F140" s="146">
        <f t="shared" si="59"/>
        <v>0</v>
      </c>
      <c r="G140" s="146">
        <f t="shared" si="59"/>
        <v>1379000</v>
      </c>
      <c r="H140" s="146">
        <f t="shared" si="59"/>
        <v>0</v>
      </c>
      <c r="I140" s="146">
        <f t="shared" si="59"/>
        <v>1379000</v>
      </c>
      <c r="J140" s="146">
        <f t="shared" si="59"/>
        <v>0</v>
      </c>
      <c r="K140" s="146">
        <f t="shared" si="59"/>
        <v>0</v>
      </c>
      <c r="L140" s="146">
        <f t="shared" si="59"/>
        <v>0</v>
      </c>
      <c r="M140" s="370">
        <f>J140/G140*100</f>
        <v>0</v>
      </c>
      <c r="N140" s="146">
        <f>SUM(N141:N142)</f>
        <v>0</v>
      </c>
      <c r="O140" s="468">
        <f t="shared" si="58"/>
        <v>0</v>
      </c>
      <c r="P140" s="470"/>
      <c r="Q140" s="470"/>
      <c r="R140" s="371"/>
      <c r="S140" s="371"/>
      <c r="T140" s="371"/>
      <c r="U140" s="371"/>
      <c r="V140" s="371"/>
      <c r="W140" s="371"/>
      <c r="X140" s="371"/>
      <c r="Y140" s="82"/>
      <c r="Z140" s="82"/>
      <c r="AA140" s="371"/>
      <c r="AB140" s="371"/>
      <c r="AC140" s="371"/>
      <c r="AD140" s="371"/>
      <c r="AE140" s="371"/>
      <c r="AF140" s="371"/>
      <c r="AG140" s="371"/>
      <c r="AH140" s="371"/>
      <c r="AI140" s="371"/>
      <c r="AJ140" s="371"/>
      <c r="AK140" s="371"/>
      <c r="AL140" s="371"/>
      <c r="AM140" s="371"/>
      <c r="AN140" s="371"/>
      <c r="AO140" s="371"/>
      <c r="AP140" s="371"/>
      <c r="AQ140" s="372"/>
      <c r="AR140" s="82"/>
      <c r="AS140" s="374"/>
      <c r="AT140" s="374"/>
      <c r="AU140" s="374"/>
      <c r="AV140" s="73"/>
    </row>
    <row r="141" spans="1:48" s="323" customFormat="1" ht="89.25" customHeight="1">
      <c r="A141" s="51">
        <v>64</v>
      </c>
      <c r="B141" s="52" t="s">
        <v>432</v>
      </c>
      <c r="C141" s="15" t="s">
        <v>437</v>
      </c>
      <c r="D141" s="12">
        <f>'BC UBND Huyện 15 hàng tháng'!E137</f>
        <v>661205</v>
      </c>
      <c r="E141" s="348"/>
      <c r="F141" s="348"/>
      <c r="G141" s="351">
        <f t="shared" si="54"/>
        <v>711000</v>
      </c>
      <c r="H141" s="350"/>
      <c r="I141" s="348">
        <f>'BC UBND Huyện 15 hàng tháng'!R137</f>
        <v>711000</v>
      </c>
      <c r="J141" s="348">
        <f t="shared" si="55"/>
        <v>0</v>
      </c>
      <c r="K141" s="350"/>
      <c r="L141" s="350">
        <f>'BC UBND Huyện 15 hàng tháng'!U137</f>
        <v>0</v>
      </c>
      <c r="M141" s="347">
        <f t="shared" si="56"/>
        <v>0</v>
      </c>
      <c r="N141" s="348"/>
      <c r="O141" s="468">
        <f t="shared" si="58"/>
        <v>0</v>
      </c>
      <c r="P141" s="470"/>
      <c r="Q141" s="470"/>
      <c r="R141" s="324"/>
      <c r="S141" s="324"/>
      <c r="T141" s="324"/>
      <c r="U141" s="324"/>
      <c r="V141" s="324"/>
      <c r="W141" s="324"/>
      <c r="X141" s="324"/>
      <c r="Y141" s="15"/>
      <c r="Z141" s="15"/>
      <c r="AA141" s="15"/>
      <c r="AB141" s="324"/>
      <c r="AC141" s="15"/>
      <c r="AD141" s="324"/>
      <c r="AE141" s="324"/>
      <c r="AF141" s="324"/>
      <c r="AG141" s="324"/>
      <c r="AH141" s="324"/>
      <c r="AI141" s="324"/>
      <c r="AJ141" s="324"/>
      <c r="AK141" s="324"/>
      <c r="AL141" s="324"/>
      <c r="AM141" s="324"/>
      <c r="AN141" s="324"/>
      <c r="AO141" s="324"/>
      <c r="AP141" s="324"/>
      <c r="AQ141" s="355" t="str">
        <f>'BC UBND Huyện 15 hàng tháng'!N137</f>
        <v>Số 30/2021/HĐ-XD ngày 23/06/2021;  KC-HT: '28/06/2021-26/09/2021</v>
      </c>
      <c r="AR141" s="15" t="str">
        <f>'BC UBND Huyện 15 hàng tháng'!X137</f>
        <v xml:space="preserve">Đang triển khai thi công </v>
      </c>
      <c r="AS141" s="356"/>
      <c r="AT141" s="356"/>
      <c r="AU141" s="356"/>
      <c r="AV141" s="13"/>
    </row>
    <row r="142" spans="1:48" s="323" customFormat="1" ht="89.25" customHeight="1">
      <c r="A142" s="51">
        <v>65</v>
      </c>
      <c r="B142" s="52" t="s">
        <v>433</v>
      </c>
      <c r="C142" s="15" t="s">
        <v>437</v>
      </c>
      <c r="D142" s="12">
        <f>'BC UBND Huyện 15 hàng tháng'!E138</f>
        <v>833568</v>
      </c>
      <c r="E142" s="348"/>
      <c r="F142" s="348"/>
      <c r="G142" s="351">
        <f t="shared" si="54"/>
        <v>668000</v>
      </c>
      <c r="H142" s="350"/>
      <c r="I142" s="348">
        <f>'BC UBND Huyện 15 hàng tháng'!R138</f>
        <v>668000</v>
      </c>
      <c r="J142" s="348">
        <f t="shared" si="55"/>
        <v>0</v>
      </c>
      <c r="K142" s="350"/>
      <c r="L142" s="350">
        <f>'BC UBND Huyện 15 hàng tháng'!U138</f>
        <v>0</v>
      </c>
      <c r="M142" s="347">
        <f t="shared" si="56"/>
        <v>0</v>
      </c>
      <c r="N142" s="348"/>
      <c r="O142" s="468">
        <f t="shared" si="58"/>
        <v>0</v>
      </c>
      <c r="P142" s="470"/>
      <c r="Q142" s="470"/>
      <c r="R142" s="324"/>
      <c r="S142" s="324"/>
      <c r="T142" s="324"/>
      <c r="U142" s="324"/>
      <c r="V142" s="324"/>
      <c r="W142" s="324"/>
      <c r="X142" s="324"/>
      <c r="Y142" s="15"/>
      <c r="Z142" s="15"/>
      <c r="AA142" s="15"/>
      <c r="AB142" s="324"/>
      <c r="AC142" s="15"/>
      <c r="AD142" s="324"/>
      <c r="AE142" s="324"/>
      <c r="AF142" s="324"/>
      <c r="AG142" s="324"/>
      <c r="AH142" s="324"/>
      <c r="AI142" s="324"/>
      <c r="AJ142" s="324"/>
      <c r="AK142" s="324"/>
      <c r="AL142" s="324"/>
      <c r="AM142" s="324"/>
      <c r="AN142" s="324"/>
      <c r="AO142" s="324"/>
      <c r="AP142" s="15" t="s">
        <v>71</v>
      </c>
      <c r="AQ142" s="355">
        <f>'BC UBND Huyện 15 hàng tháng'!N138</f>
        <v>0</v>
      </c>
      <c r="AR142" s="15" t="str">
        <f>'BC UBND Huyện 15 hàng tháng'!X138</f>
        <v>Phê duyệt kế hoạch lựa chọn nhà thầu ngày 17/6/2021 (Phòng TCKH)</v>
      </c>
      <c r="AS142" s="356"/>
      <c r="AT142" s="356"/>
      <c r="AU142" s="356"/>
      <c r="AV142" s="13"/>
    </row>
    <row r="143" spans="1:48" s="364" customFormat="1" ht="18.75" customHeight="1">
      <c r="A143" s="362"/>
      <c r="B143" s="363" t="s">
        <v>523</v>
      </c>
      <c r="C143" s="362"/>
      <c r="D143" s="367">
        <f>D13+D64</f>
        <v>425968727</v>
      </c>
      <c r="E143" s="367">
        <f t="shared" ref="E143:L143" si="60">E13+E64</f>
        <v>73503468</v>
      </c>
      <c r="F143" s="367">
        <f t="shared" si="60"/>
        <v>494056819</v>
      </c>
      <c r="G143" s="367">
        <f t="shared" si="60"/>
        <v>343516757</v>
      </c>
      <c r="H143" s="367">
        <f t="shared" si="60"/>
        <v>79039095</v>
      </c>
      <c r="I143" s="367">
        <f t="shared" si="60"/>
        <v>264477662</v>
      </c>
      <c r="J143" s="367">
        <f t="shared" si="60"/>
        <v>30088876</v>
      </c>
      <c r="K143" s="367">
        <f t="shared" si="60"/>
        <v>5541691</v>
      </c>
      <c r="L143" s="367">
        <f t="shared" si="60"/>
        <v>24547185</v>
      </c>
      <c r="M143" s="360">
        <f>J143/G143*100</f>
        <v>8.7590708129560024</v>
      </c>
      <c r="N143" s="367">
        <f>N13+N64</f>
        <v>46490994.460000001</v>
      </c>
      <c r="O143" s="471">
        <f>O13+O64</f>
        <v>0</v>
      </c>
      <c r="P143" s="471">
        <f>P13+P64</f>
        <v>0</v>
      </c>
      <c r="Q143" s="471">
        <f>Q13+Q64</f>
        <v>0</v>
      </c>
      <c r="R143" s="362"/>
      <c r="S143" s="362"/>
      <c r="T143" s="362"/>
      <c r="U143" s="362"/>
      <c r="V143" s="362"/>
      <c r="W143" s="362"/>
      <c r="X143" s="362"/>
      <c r="Y143" s="362"/>
      <c r="Z143" s="362"/>
      <c r="AA143" s="362"/>
      <c r="AB143" s="362"/>
      <c r="AC143" s="362"/>
      <c r="AD143" s="362"/>
      <c r="AE143" s="362"/>
      <c r="AF143" s="362"/>
      <c r="AG143" s="362"/>
      <c r="AH143" s="362"/>
      <c r="AI143" s="362"/>
      <c r="AJ143" s="362"/>
      <c r="AK143" s="362"/>
      <c r="AL143" s="362"/>
      <c r="AM143" s="362"/>
      <c r="AN143" s="362"/>
      <c r="AO143" s="362"/>
      <c r="AP143" s="362"/>
      <c r="AQ143" s="362"/>
      <c r="AR143" s="362"/>
      <c r="AS143" s="362"/>
      <c r="AT143" s="362"/>
      <c r="AU143" s="362"/>
      <c r="AV143" s="362"/>
    </row>
    <row r="145" spans="1:48">
      <c r="B145" s="805" t="s">
        <v>138</v>
      </c>
      <c r="C145" s="805"/>
      <c r="D145" s="805"/>
      <c r="E145" s="805"/>
      <c r="F145" s="805"/>
      <c r="G145" s="805"/>
      <c r="H145" s="805"/>
      <c r="I145" s="805"/>
      <c r="J145" s="805"/>
      <c r="K145" s="805"/>
      <c r="L145" s="805"/>
      <c r="M145" s="805"/>
      <c r="N145" s="805"/>
      <c r="O145" s="805"/>
      <c r="P145" s="805"/>
      <c r="Q145" s="805"/>
      <c r="R145" s="805"/>
      <c r="S145" s="805"/>
      <c r="T145" s="805"/>
      <c r="U145" s="805"/>
      <c r="V145" s="805"/>
      <c r="W145" s="805"/>
      <c r="X145" s="805"/>
      <c r="Y145" s="805"/>
      <c r="Z145" s="805"/>
      <c r="AA145" s="805"/>
      <c r="AB145" s="805"/>
      <c r="AC145" s="805"/>
      <c r="AD145" s="805"/>
      <c r="AE145" s="805"/>
      <c r="AF145" s="805"/>
      <c r="AG145" s="805"/>
      <c r="AH145" s="805"/>
      <c r="AI145" s="805"/>
      <c r="AJ145" s="805"/>
      <c r="AK145" s="805"/>
      <c r="AL145" s="805"/>
      <c r="AM145" s="805"/>
      <c r="AN145" s="805"/>
      <c r="AO145" s="805"/>
      <c r="AP145" s="805"/>
      <c r="AQ145" s="805"/>
      <c r="AR145" s="805"/>
      <c r="AS145" s="805"/>
      <c r="AT145" s="805"/>
      <c r="AU145" s="805"/>
      <c r="AV145" s="805"/>
    </row>
    <row r="147" spans="1:48" s="20" customFormat="1" ht="15.75" customHeight="1">
      <c r="A147" s="86"/>
      <c r="B147" s="19" t="s">
        <v>26</v>
      </c>
      <c r="E147" s="22" t="s">
        <v>30</v>
      </c>
      <c r="G147" s="21"/>
      <c r="H147" s="21"/>
      <c r="I147" s="21"/>
      <c r="J147" s="21"/>
      <c r="O147" s="472"/>
      <c r="P147" s="472"/>
      <c r="Q147" s="472"/>
      <c r="AM147" s="803" t="s">
        <v>25</v>
      </c>
      <c r="AN147" s="803"/>
      <c r="AO147" s="803"/>
      <c r="AP147" s="803"/>
      <c r="AQ147" s="803"/>
      <c r="AR147" s="803"/>
      <c r="AS147" s="803"/>
      <c r="AT147" s="22"/>
      <c r="AU147" s="22"/>
      <c r="AV147" s="22"/>
    </row>
    <row r="148" spans="1:48" s="20" customFormat="1" ht="15.75" customHeight="1">
      <c r="A148" s="86"/>
      <c r="B148" s="20" t="s">
        <v>27</v>
      </c>
      <c r="O148" s="472"/>
      <c r="P148" s="472"/>
      <c r="Q148" s="472"/>
      <c r="AQ148" s="22"/>
      <c r="AS148" s="22"/>
      <c r="AT148" s="22"/>
      <c r="AU148" s="22"/>
      <c r="AV148" s="22"/>
    </row>
    <row r="149" spans="1:48" s="20" customFormat="1" ht="15.75" customHeight="1">
      <c r="A149" s="86"/>
      <c r="B149" s="20" t="s">
        <v>601</v>
      </c>
      <c r="O149" s="472"/>
      <c r="P149" s="472"/>
      <c r="Q149" s="472"/>
      <c r="AQ149" s="22"/>
      <c r="AS149" s="22"/>
      <c r="AT149" s="22"/>
      <c r="AU149" s="22"/>
      <c r="AV149" s="22"/>
    </row>
    <row r="150" spans="1:48" s="20" customFormat="1" ht="15.75" customHeight="1">
      <c r="A150" s="86"/>
      <c r="B150" s="20" t="s">
        <v>602</v>
      </c>
      <c r="O150" s="472"/>
      <c r="P150" s="472"/>
      <c r="Q150" s="472"/>
      <c r="AQ150" s="22"/>
      <c r="AS150" s="22"/>
      <c r="AT150" s="22"/>
      <c r="AU150" s="22"/>
      <c r="AV150" s="22"/>
    </row>
    <row r="151" spans="1:48" s="20" customFormat="1" ht="15.75" customHeight="1">
      <c r="A151" s="86"/>
      <c r="B151" s="20" t="s">
        <v>28</v>
      </c>
      <c r="O151" s="472"/>
      <c r="P151" s="472"/>
      <c r="Q151" s="472"/>
      <c r="AQ151" s="22"/>
      <c r="AS151" s="22"/>
      <c r="AT151" s="22"/>
      <c r="AU151" s="22"/>
      <c r="AV151" s="22"/>
    </row>
    <row r="152" spans="1:48" s="20" customFormat="1" ht="15.75" customHeight="1">
      <c r="A152" s="86"/>
      <c r="B152" s="20" t="s">
        <v>29</v>
      </c>
      <c r="E152" s="320" t="s">
        <v>33</v>
      </c>
      <c r="O152" s="472"/>
      <c r="P152" s="472"/>
      <c r="Q152" s="472"/>
      <c r="AM152" s="804" t="s">
        <v>139</v>
      </c>
      <c r="AN152" s="804"/>
      <c r="AO152" s="804"/>
      <c r="AP152" s="804"/>
      <c r="AQ152" s="804"/>
      <c r="AR152" s="804"/>
      <c r="AS152" s="804"/>
      <c r="AT152" s="22"/>
      <c r="AU152" s="22"/>
      <c r="AV152" s="22"/>
    </row>
  </sheetData>
  <mergeCells count="39">
    <mergeCell ref="AM147:AS147"/>
    <mergeCell ref="AM152:AS152"/>
    <mergeCell ref="E1:AV1"/>
    <mergeCell ref="E2:AV2"/>
    <mergeCell ref="E3:AV3"/>
    <mergeCell ref="B145:AV145"/>
    <mergeCell ref="A1:D1"/>
    <mergeCell ref="A2:D2"/>
    <mergeCell ref="A3:D3"/>
    <mergeCell ref="A4:D4"/>
    <mergeCell ref="AW9:BA9"/>
    <mergeCell ref="G10:G11"/>
    <mergeCell ref="H10:I10"/>
    <mergeCell ref="J10:J11"/>
    <mergeCell ref="K10:L10"/>
    <mergeCell ref="O10:O11"/>
    <mergeCell ref="P10:Q10"/>
    <mergeCell ref="R10:U10"/>
    <mergeCell ref="AD10:AH10"/>
    <mergeCell ref="AI10:AQ10"/>
    <mergeCell ref="AR10:AR11"/>
    <mergeCell ref="AU9:AU11"/>
    <mergeCell ref="AV9:AV11"/>
    <mergeCell ref="A6:AV6"/>
    <mergeCell ref="A9:A11"/>
    <mergeCell ref="B9:B11"/>
    <mergeCell ref="C9:C11"/>
    <mergeCell ref="D9:D11"/>
    <mergeCell ref="E9:E11"/>
    <mergeCell ref="F9:F11"/>
    <mergeCell ref="G9:I9"/>
    <mergeCell ref="J9:L9"/>
    <mergeCell ref="M9:M11"/>
    <mergeCell ref="N9:N11"/>
    <mergeCell ref="O9:Q9"/>
    <mergeCell ref="R9:AR9"/>
    <mergeCell ref="AS9:AS11"/>
    <mergeCell ref="AT9:AT11"/>
    <mergeCell ref="V10:AC10"/>
  </mergeCells>
  <pageMargins left="0.24" right="0.16" top="0.45" bottom="0.42" header="0.3" footer="0.2"/>
  <pageSetup paperSize="9" scale="32" orientation="landscape" verticalDpi="0" r:id="rId1"/>
  <headerFooter>
    <oddHeader>&amp;R&amp;8Trang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C161"/>
  <sheetViews>
    <sheetView tabSelected="1" zoomScale="70" zoomScaleNormal="70" workbookViewId="0">
      <selection activeCell="I7" sqref="I7:I8"/>
    </sheetView>
  </sheetViews>
  <sheetFormatPr defaultRowHeight="12.75"/>
  <cols>
    <col min="1" max="1" width="7.42578125" style="542" customWidth="1"/>
    <col min="2" max="2" width="35.85546875" style="543" customWidth="1"/>
    <col min="3" max="3" width="7" style="542" customWidth="1"/>
    <col min="4" max="4" width="11" style="542" customWidth="1"/>
    <col min="5" max="5" width="15.28515625" style="542" customWidth="1"/>
    <col min="6" max="6" width="14.42578125" style="542" customWidth="1"/>
    <col min="7" max="7" width="14.85546875" style="556" customWidth="1"/>
    <col min="8" max="8" width="14.7109375" style="542" customWidth="1"/>
    <col min="9" max="9" width="13.85546875" style="542" customWidth="1"/>
    <col min="10" max="10" width="13.42578125" style="542" customWidth="1"/>
    <col min="11" max="11" width="14.140625" style="542" customWidth="1"/>
    <col min="12" max="12" width="14.85546875" style="543" customWidth="1"/>
    <col min="13" max="14" width="14.42578125" style="542" customWidth="1"/>
    <col min="15" max="15" width="16.85546875" style="542" customWidth="1"/>
    <col min="16" max="16" width="14.140625" style="542" customWidth="1"/>
    <col min="17" max="17" width="15.28515625" style="542" customWidth="1"/>
    <col min="18" max="18" width="8.5703125" style="542" customWidth="1"/>
    <col min="19" max="19" width="6.28515625" style="542" customWidth="1"/>
    <col min="20" max="20" width="5.7109375" style="542" customWidth="1"/>
    <col min="21" max="21" width="6" style="542" customWidth="1"/>
    <col min="22" max="22" width="5.42578125" style="542" customWidth="1"/>
    <col min="23" max="23" width="22.85546875" style="542" customWidth="1"/>
    <col min="24" max="24" width="16.28515625" style="542" bestFit="1" customWidth="1"/>
    <col min="25" max="25" width="12.140625" style="542" bestFit="1" customWidth="1"/>
    <col min="26" max="26" width="11.7109375" style="542" customWidth="1"/>
    <col min="27" max="27" width="11.140625" style="542" bestFit="1" customWidth="1"/>
    <col min="28" max="55" width="9.140625" style="542"/>
    <col min="56" max="16384" width="9.140625" style="477"/>
  </cols>
  <sheetData>
    <row r="2" spans="1:55" ht="19.5" customHeight="1">
      <c r="A2" s="810" t="s">
        <v>885</v>
      </c>
      <c r="B2" s="810"/>
      <c r="C2" s="810"/>
      <c r="D2" s="810"/>
      <c r="E2" s="810"/>
      <c r="F2" s="810"/>
      <c r="G2" s="810"/>
      <c r="H2" s="810"/>
      <c r="I2" s="810"/>
      <c r="J2" s="810"/>
      <c r="K2" s="810"/>
      <c r="L2" s="810"/>
      <c r="M2" s="810"/>
      <c r="N2" s="810"/>
      <c r="O2" s="810"/>
      <c r="P2" s="810"/>
      <c r="Q2" s="810"/>
      <c r="R2" s="810"/>
      <c r="S2" s="810"/>
      <c r="T2" s="810"/>
      <c r="U2" s="810"/>
      <c r="V2" s="810"/>
      <c r="W2" s="810"/>
    </row>
    <row r="3" spans="1:55" ht="15.75" customHeight="1">
      <c r="A3" s="809" t="s">
        <v>913</v>
      </c>
      <c r="B3" s="809"/>
      <c r="C3" s="809"/>
      <c r="D3" s="809"/>
      <c r="E3" s="809"/>
      <c r="F3" s="809"/>
      <c r="G3" s="809"/>
      <c r="H3" s="809"/>
      <c r="I3" s="809"/>
      <c r="J3" s="809"/>
      <c r="K3" s="809"/>
      <c r="L3" s="809"/>
      <c r="M3" s="809"/>
      <c r="N3" s="809"/>
      <c r="O3" s="809"/>
      <c r="P3" s="809"/>
      <c r="Q3" s="809"/>
      <c r="R3" s="809"/>
      <c r="S3" s="809"/>
      <c r="T3" s="809"/>
      <c r="U3" s="809"/>
      <c r="V3" s="809"/>
      <c r="W3" s="809"/>
    </row>
    <row r="4" spans="1:55">
      <c r="D4" s="593"/>
      <c r="N4" s="549"/>
      <c r="W4" s="549" t="s">
        <v>779</v>
      </c>
    </row>
    <row r="5" spans="1:55" ht="42" customHeight="1">
      <c r="A5" s="806" t="s">
        <v>3</v>
      </c>
      <c r="B5" s="806" t="s">
        <v>130</v>
      </c>
      <c r="C5" s="806" t="s">
        <v>609</v>
      </c>
      <c r="D5" s="806" t="s">
        <v>610</v>
      </c>
      <c r="E5" s="814" t="s">
        <v>611</v>
      </c>
      <c r="F5" s="816"/>
      <c r="G5" s="815"/>
      <c r="H5" s="814" t="s">
        <v>612</v>
      </c>
      <c r="I5" s="816"/>
      <c r="J5" s="816"/>
      <c r="K5" s="816"/>
      <c r="L5" s="816"/>
      <c r="M5" s="816"/>
      <c r="N5" s="815"/>
      <c r="O5" s="814" t="s">
        <v>613</v>
      </c>
      <c r="P5" s="816"/>
      <c r="Q5" s="815"/>
      <c r="R5" s="806" t="s">
        <v>633</v>
      </c>
      <c r="S5" s="823" t="s">
        <v>381</v>
      </c>
      <c r="T5" s="824"/>
      <c r="U5" s="824"/>
      <c r="V5" s="824"/>
      <c r="W5" s="825"/>
    </row>
    <row r="6" spans="1:55" ht="30.75" customHeight="1">
      <c r="A6" s="807"/>
      <c r="B6" s="807"/>
      <c r="C6" s="807"/>
      <c r="D6" s="807"/>
      <c r="E6" s="806" t="s">
        <v>5</v>
      </c>
      <c r="F6" s="806" t="s">
        <v>614</v>
      </c>
      <c r="G6" s="817" t="s">
        <v>615</v>
      </c>
      <c r="H6" s="806" t="s">
        <v>5</v>
      </c>
      <c r="I6" s="814" t="s">
        <v>616</v>
      </c>
      <c r="J6" s="816"/>
      <c r="K6" s="815"/>
      <c r="L6" s="814" t="s">
        <v>617</v>
      </c>
      <c r="M6" s="816"/>
      <c r="N6" s="815"/>
      <c r="O6" s="806" t="s">
        <v>5</v>
      </c>
      <c r="P6" s="814" t="s">
        <v>134</v>
      </c>
      <c r="Q6" s="815"/>
      <c r="R6" s="807"/>
      <c r="S6" s="811" t="s">
        <v>644</v>
      </c>
      <c r="T6" s="811" t="s">
        <v>645</v>
      </c>
      <c r="U6" s="811" t="s">
        <v>646</v>
      </c>
      <c r="V6" s="811" t="s">
        <v>647</v>
      </c>
      <c r="W6" s="822" t="s">
        <v>388</v>
      </c>
    </row>
    <row r="7" spans="1:55" ht="17.25" customHeight="1">
      <c r="A7" s="807"/>
      <c r="B7" s="807"/>
      <c r="C7" s="807"/>
      <c r="D7" s="807"/>
      <c r="E7" s="807"/>
      <c r="F7" s="807"/>
      <c r="G7" s="818"/>
      <c r="H7" s="807"/>
      <c r="I7" s="806" t="s">
        <v>5</v>
      </c>
      <c r="J7" s="814" t="s">
        <v>134</v>
      </c>
      <c r="K7" s="815"/>
      <c r="L7" s="826" t="s">
        <v>5</v>
      </c>
      <c r="M7" s="814" t="s">
        <v>134</v>
      </c>
      <c r="N7" s="815"/>
      <c r="O7" s="807"/>
      <c r="P7" s="806" t="s">
        <v>616</v>
      </c>
      <c r="Q7" s="806" t="s">
        <v>617</v>
      </c>
      <c r="R7" s="807"/>
      <c r="S7" s="812"/>
      <c r="T7" s="812"/>
      <c r="U7" s="812"/>
      <c r="V7" s="812"/>
      <c r="W7" s="822"/>
    </row>
    <row r="8" spans="1:55" ht="107.25" customHeight="1">
      <c r="A8" s="808"/>
      <c r="B8" s="808"/>
      <c r="C8" s="808"/>
      <c r="D8" s="808"/>
      <c r="E8" s="808"/>
      <c r="F8" s="808"/>
      <c r="G8" s="819"/>
      <c r="H8" s="808"/>
      <c r="I8" s="808"/>
      <c r="J8" s="474" t="s">
        <v>618</v>
      </c>
      <c r="K8" s="474" t="s">
        <v>619</v>
      </c>
      <c r="L8" s="827"/>
      <c r="M8" s="474" t="s">
        <v>618</v>
      </c>
      <c r="N8" s="474" t="s">
        <v>619</v>
      </c>
      <c r="O8" s="808"/>
      <c r="P8" s="808"/>
      <c r="Q8" s="808"/>
      <c r="R8" s="808"/>
      <c r="S8" s="813"/>
      <c r="T8" s="813"/>
      <c r="U8" s="813"/>
      <c r="V8" s="813"/>
      <c r="W8" s="822"/>
      <c r="Y8" s="592"/>
      <c r="AA8" s="593"/>
    </row>
    <row r="9" spans="1:55" s="539" customFormat="1" ht="22.5" customHeight="1">
      <c r="A9" s="475">
        <v>1</v>
      </c>
      <c r="B9" s="475">
        <v>2</v>
      </c>
      <c r="C9" s="475">
        <v>3</v>
      </c>
      <c r="D9" s="475">
        <v>4</v>
      </c>
      <c r="E9" s="475" t="s">
        <v>620</v>
      </c>
      <c r="F9" s="475">
        <v>6</v>
      </c>
      <c r="G9" s="316">
        <v>7</v>
      </c>
      <c r="H9" s="475" t="s">
        <v>621</v>
      </c>
      <c r="I9" s="475" t="s">
        <v>622</v>
      </c>
      <c r="J9" s="475">
        <v>10</v>
      </c>
      <c r="K9" s="475">
        <v>11</v>
      </c>
      <c r="L9" s="475" t="s">
        <v>623</v>
      </c>
      <c r="M9" s="475">
        <v>13</v>
      </c>
      <c r="N9" s="475">
        <v>14</v>
      </c>
      <c r="O9" s="476" t="s">
        <v>624</v>
      </c>
      <c r="P9" s="475">
        <v>16</v>
      </c>
      <c r="Q9" s="475">
        <v>17</v>
      </c>
      <c r="R9" s="475">
        <v>18</v>
      </c>
      <c r="S9" s="475">
        <v>19</v>
      </c>
      <c r="T9" s="475">
        <v>20</v>
      </c>
      <c r="U9" s="475">
        <v>21</v>
      </c>
      <c r="V9" s="475">
        <v>22</v>
      </c>
      <c r="W9" s="475">
        <v>15</v>
      </c>
      <c r="X9" s="546"/>
      <c r="Y9" s="592"/>
      <c r="Z9" s="546"/>
      <c r="AA9" s="546"/>
      <c r="AB9" s="546"/>
      <c r="AC9" s="546"/>
      <c r="AD9" s="546"/>
      <c r="AE9" s="546"/>
      <c r="AF9" s="546"/>
      <c r="AG9" s="546"/>
      <c r="AH9" s="546"/>
      <c r="AI9" s="546"/>
      <c r="AJ9" s="546"/>
      <c r="AK9" s="546"/>
      <c r="AL9" s="546"/>
      <c r="AM9" s="546"/>
      <c r="AN9" s="546"/>
      <c r="AO9" s="546"/>
      <c r="AP9" s="546"/>
      <c r="AQ9" s="546"/>
      <c r="AR9" s="546"/>
      <c r="AS9" s="546"/>
      <c r="AT9" s="546"/>
      <c r="AU9" s="546"/>
      <c r="AV9" s="546"/>
      <c r="AW9" s="546"/>
      <c r="AX9" s="546"/>
      <c r="AY9" s="546"/>
      <c r="AZ9" s="546"/>
      <c r="BA9" s="546"/>
      <c r="BB9" s="546"/>
      <c r="BC9" s="546"/>
    </row>
    <row r="10" spans="1:55">
      <c r="A10" s="474"/>
      <c r="B10" s="534" t="s">
        <v>24</v>
      </c>
      <c r="C10" s="474"/>
      <c r="D10" s="474"/>
      <c r="E10" s="532">
        <f>E11</f>
        <v>166280000</v>
      </c>
      <c r="F10" s="532">
        <f t="shared" ref="F10:R10" si="0">F11</f>
        <v>0</v>
      </c>
      <c r="G10" s="316">
        <f t="shared" si="0"/>
        <v>166280000</v>
      </c>
      <c r="H10" s="532">
        <f>I10+L10</f>
        <v>19118748</v>
      </c>
      <c r="I10" s="532">
        <f t="shared" si="0"/>
        <v>0</v>
      </c>
      <c r="J10" s="532">
        <f t="shared" si="0"/>
        <v>0</v>
      </c>
      <c r="K10" s="532">
        <f t="shared" si="0"/>
        <v>0</v>
      </c>
      <c r="L10" s="696">
        <f t="shared" si="0"/>
        <v>19118748</v>
      </c>
      <c r="M10" s="532">
        <f t="shared" si="0"/>
        <v>14266383</v>
      </c>
      <c r="N10" s="532">
        <f t="shared" si="0"/>
        <v>4852365</v>
      </c>
      <c r="O10" s="532">
        <f t="shared" si="0"/>
        <v>28223200</v>
      </c>
      <c r="P10" s="532">
        <f t="shared" si="0"/>
        <v>0</v>
      </c>
      <c r="Q10" s="532">
        <f t="shared" si="0"/>
        <v>28223200</v>
      </c>
      <c r="R10" s="532">
        <f t="shared" si="0"/>
        <v>0</v>
      </c>
      <c r="S10" s="475">
        <f>S12</f>
        <v>0</v>
      </c>
      <c r="T10" s="475">
        <f>T12</f>
        <v>0</v>
      </c>
      <c r="U10" s="475">
        <f>U12</f>
        <v>0</v>
      </c>
      <c r="V10" s="475">
        <f>V12</f>
        <v>0</v>
      </c>
      <c r="W10" s="474"/>
      <c r="X10" s="592"/>
      <c r="Y10" s="592"/>
    </row>
    <row r="11" spans="1:55">
      <c r="A11" s="475" t="s">
        <v>9</v>
      </c>
      <c r="B11" s="534" t="s">
        <v>628</v>
      </c>
      <c r="C11" s="474"/>
      <c r="D11" s="474"/>
      <c r="E11" s="532">
        <f>E12</f>
        <v>166280000</v>
      </c>
      <c r="F11" s="532">
        <f t="shared" ref="F11:R11" si="1">F12</f>
        <v>0</v>
      </c>
      <c r="G11" s="316">
        <f t="shared" si="1"/>
        <v>166280000</v>
      </c>
      <c r="H11" s="532">
        <f>I11+L11</f>
        <v>19118748</v>
      </c>
      <c r="I11" s="532">
        <f t="shared" si="1"/>
        <v>0</v>
      </c>
      <c r="J11" s="532">
        <f t="shared" si="1"/>
        <v>0</v>
      </c>
      <c r="K11" s="532">
        <f t="shared" si="1"/>
        <v>0</v>
      </c>
      <c r="L11" s="696">
        <f t="shared" si="1"/>
        <v>19118748</v>
      </c>
      <c r="M11" s="532">
        <f t="shared" si="1"/>
        <v>14266383</v>
      </c>
      <c r="N11" s="532">
        <f t="shared" si="1"/>
        <v>4852365</v>
      </c>
      <c r="O11" s="532">
        <f t="shared" si="1"/>
        <v>28223200</v>
      </c>
      <c r="P11" s="532">
        <f t="shared" si="1"/>
        <v>0</v>
      </c>
      <c r="Q11" s="532">
        <f t="shared" si="1"/>
        <v>28223200</v>
      </c>
      <c r="R11" s="532">
        <f t="shared" si="1"/>
        <v>0</v>
      </c>
      <c r="S11" s="474"/>
      <c r="T11" s="474"/>
      <c r="U11" s="474"/>
      <c r="V11" s="474"/>
      <c r="W11" s="474"/>
      <c r="X11" s="592"/>
      <c r="Y11" s="592"/>
    </row>
    <row r="12" spans="1:55">
      <c r="A12" s="474"/>
      <c r="B12" s="534" t="s">
        <v>625</v>
      </c>
      <c r="C12" s="474"/>
      <c r="D12" s="474"/>
      <c r="E12" s="532">
        <f t="shared" ref="E12:W12" si="2">E15+E64</f>
        <v>166280000</v>
      </c>
      <c r="F12" s="532">
        <f t="shared" si="2"/>
        <v>0</v>
      </c>
      <c r="G12" s="532">
        <f t="shared" si="2"/>
        <v>166280000</v>
      </c>
      <c r="H12" s="532">
        <f t="shared" si="2"/>
        <v>11125482</v>
      </c>
      <c r="I12" s="532">
        <f t="shared" si="2"/>
        <v>0</v>
      </c>
      <c r="J12" s="532">
        <f t="shared" si="2"/>
        <v>0</v>
      </c>
      <c r="K12" s="532">
        <f t="shared" si="2"/>
        <v>0</v>
      </c>
      <c r="L12" s="696">
        <f t="shared" si="2"/>
        <v>19118748</v>
      </c>
      <c r="M12" s="532">
        <f t="shared" si="2"/>
        <v>14266383</v>
      </c>
      <c r="N12" s="532">
        <f t="shared" si="2"/>
        <v>4852365</v>
      </c>
      <c r="O12" s="532">
        <f t="shared" si="2"/>
        <v>28223200</v>
      </c>
      <c r="P12" s="532">
        <f t="shared" si="2"/>
        <v>0</v>
      </c>
      <c r="Q12" s="532">
        <f t="shared" si="2"/>
        <v>28223200</v>
      </c>
      <c r="R12" s="532">
        <f t="shared" si="2"/>
        <v>0</v>
      </c>
      <c r="S12" s="532">
        <f t="shared" si="2"/>
        <v>0</v>
      </c>
      <c r="T12" s="532">
        <f t="shared" si="2"/>
        <v>0</v>
      </c>
      <c r="U12" s="532">
        <f t="shared" si="2"/>
        <v>0</v>
      </c>
      <c r="V12" s="532">
        <f t="shared" si="2"/>
        <v>0</v>
      </c>
      <c r="W12" s="532">
        <f t="shared" si="2"/>
        <v>0</v>
      </c>
      <c r="X12" s="592"/>
      <c r="Y12" s="592"/>
      <c r="Z12" s="555"/>
      <c r="AA12" s="555"/>
    </row>
    <row r="13" spans="1:55">
      <c r="A13" s="474"/>
      <c r="B13" s="534" t="s">
        <v>626</v>
      </c>
      <c r="C13" s="474"/>
      <c r="D13" s="474"/>
      <c r="E13" s="529"/>
      <c r="F13" s="529"/>
      <c r="G13" s="528"/>
      <c r="H13" s="686"/>
      <c r="I13" s="746"/>
      <c r="J13" s="591"/>
      <c r="K13" s="529"/>
      <c r="L13" s="697"/>
      <c r="M13" s="529"/>
      <c r="N13" s="529"/>
      <c r="O13" s="529"/>
      <c r="P13" s="529"/>
      <c r="Q13" s="529"/>
      <c r="R13" s="529"/>
      <c r="S13" s="474"/>
      <c r="T13" s="474"/>
      <c r="U13" s="474"/>
      <c r="V13" s="474"/>
      <c r="W13" s="474"/>
      <c r="X13" s="592"/>
      <c r="Y13" s="592"/>
    </row>
    <row r="14" spans="1:55" ht="13.5">
      <c r="A14" s="474"/>
      <c r="B14" s="564" t="s">
        <v>627</v>
      </c>
      <c r="C14" s="474"/>
      <c r="D14" s="474"/>
      <c r="E14" s="687"/>
      <c r="F14" s="687"/>
      <c r="G14" s="687"/>
      <c r="H14" s="687"/>
      <c r="I14" s="687"/>
      <c r="J14" s="591"/>
      <c r="K14" s="529"/>
      <c r="L14" s="697"/>
      <c r="M14" s="529"/>
      <c r="N14" s="529"/>
      <c r="O14" s="529"/>
      <c r="P14" s="529"/>
      <c r="Q14" s="529"/>
      <c r="R14" s="529"/>
      <c r="S14" s="474"/>
      <c r="T14" s="474"/>
      <c r="U14" s="474"/>
      <c r="V14" s="474"/>
      <c r="W14" s="474"/>
      <c r="X14" s="592"/>
      <c r="Y14" s="602"/>
    </row>
    <row r="15" spans="1:55">
      <c r="A15" s="475" t="s">
        <v>19</v>
      </c>
      <c r="B15" s="534" t="s">
        <v>42</v>
      </c>
      <c r="C15" s="474"/>
      <c r="D15" s="474"/>
      <c r="E15" s="532">
        <f>E17+E29</f>
        <v>123280000</v>
      </c>
      <c r="F15" s="532">
        <f t="shared" ref="F15:W15" si="3">F17+F29</f>
        <v>0</v>
      </c>
      <c r="G15" s="532">
        <f t="shared" si="3"/>
        <v>123280000</v>
      </c>
      <c r="H15" s="532">
        <f t="shared" si="3"/>
        <v>11125482</v>
      </c>
      <c r="I15" s="532">
        <f t="shared" si="3"/>
        <v>0</v>
      </c>
      <c r="J15" s="532">
        <f t="shared" si="3"/>
        <v>0</v>
      </c>
      <c r="K15" s="532">
        <f t="shared" si="3"/>
        <v>0</v>
      </c>
      <c r="L15" s="532">
        <f t="shared" si="3"/>
        <v>14352181</v>
      </c>
      <c r="M15" s="532">
        <f t="shared" si="3"/>
        <v>9793004</v>
      </c>
      <c r="N15" s="532">
        <f t="shared" si="3"/>
        <v>4559177</v>
      </c>
      <c r="O15" s="532">
        <f t="shared" si="3"/>
        <v>21970000</v>
      </c>
      <c r="P15" s="532">
        <f t="shared" si="3"/>
        <v>0</v>
      </c>
      <c r="Q15" s="532">
        <f t="shared" si="3"/>
        <v>21970000</v>
      </c>
      <c r="R15" s="532">
        <f t="shared" si="3"/>
        <v>0</v>
      </c>
      <c r="S15" s="532">
        <f t="shared" si="3"/>
        <v>0</v>
      </c>
      <c r="T15" s="532">
        <f t="shared" si="3"/>
        <v>0</v>
      </c>
      <c r="U15" s="532">
        <f t="shared" si="3"/>
        <v>0</v>
      </c>
      <c r="V15" s="532">
        <f t="shared" si="3"/>
        <v>0</v>
      </c>
      <c r="W15" s="532">
        <f t="shared" si="3"/>
        <v>0</v>
      </c>
      <c r="X15" s="592"/>
      <c r="Y15" s="592"/>
    </row>
    <row r="16" spans="1:55">
      <c r="A16" s="475">
        <v>1</v>
      </c>
      <c r="B16" s="534" t="s">
        <v>632</v>
      </c>
      <c r="C16" s="474"/>
      <c r="D16" s="474"/>
      <c r="E16" s="316">
        <f>E17+E29</f>
        <v>123280000</v>
      </c>
      <c r="F16" s="316">
        <f>F17+F29</f>
        <v>0</v>
      </c>
      <c r="G16" s="316">
        <f>G17+G29</f>
        <v>123280000</v>
      </c>
      <c r="H16" s="316">
        <f t="shared" ref="H16:U16" si="4">H17+H29</f>
        <v>11125482</v>
      </c>
      <c r="I16" s="316">
        <f t="shared" si="4"/>
        <v>0</v>
      </c>
      <c r="J16" s="316">
        <f t="shared" si="4"/>
        <v>0</v>
      </c>
      <c r="K16" s="316">
        <f t="shared" si="4"/>
        <v>0</v>
      </c>
      <c r="L16" s="316">
        <f t="shared" si="4"/>
        <v>14352181</v>
      </c>
      <c r="M16" s="316">
        <f t="shared" si="4"/>
        <v>9793004</v>
      </c>
      <c r="N16" s="316">
        <f t="shared" si="4"/>
        <v>4559177</v>
      </c>
      <c r="O16" s="316">
        <f t="shared" si="4"/>
        <v>21970000</v>
      </c>
      <c r="P16" s="316">
        <f t="shared" si="4"/>
        <v>0</v>
      </c>
      <c r="Q16" s="316">
        <f t="shared" si="4"/>
        <v>21970000</v>
      </c>
      <c r="R16" s="316">
        <f t="shared" si="4"/>
        <v>0</v>
      </c>
      <c r="S16" s="316">
        <f t="shared" si="4"/>
        <v>0</v>
      </c>
      <c r="T16" s="316">
        <f t="shared" si="4"/>
        <v>0</v>
      </c>
      <c r="U16" s="316">
        <f t="shared" si="4"/>
        <v>0</v>
      </c>
      <c r="V16" s="316" t="e">
        <f>V17+V29+#REF!+#REF!+#REF!</f>
        <v>#REF!</v>
      </c>
      <c r="W16" s="532">
        <f>W17+W29</f>
        <v>0</v>
      </c>
      <c r="X16" s="592"/>
      <c r="Y16" s="592"/>
    </row>
    <row r="17" spans="1:25">
      <c r="A17" s="574" t="s">
        <v>629</v>
      </c>
      <c r="B17" s="575" t="s">
        <v>173</v>
      </c>
      <c r="C17" s="558"/>
      <c r="D17" s="558"/>
      <c r="E17" s="568">
        <f>E22+E26+E19</f>
        <v>39100000</v>
      </c>
      <c r="F17" s="568">
        <f t="shared" ref="F17:V17" si="5">F22+F26+F19</f>
        <v>0</v>
      </c>
      <c r="G17" s="568">
        <f t="shared" si="5"/>
        <v>39100000</v>
      </c>
      <c r="H17" s="568">
        <f t="shared" si="5"/>
        <v>3175457</v>
      </c>
      <c r="I17" s="532">
        <f t="shared" si="5"/>
        <v>0</v>
      </c>
      <c r="J17" s="568">
        <f t="shared" si="5"/>
        <v>0</v>
      </c>
      <c r="K17" s="568">
        <f t="shared" si="5"/>
        <v>0</v>
      </c>
      <c r="L17" s="532">
        <f t="shared" si="5"/>
        <v>3175457</v>
      </c>
      <c r="M17" s="568">
        <f t="shared" si="5"/>
        <v>1708480</v>
      </c>
      <c r="N17" s="568">
        <f t="shared" si="5"/>
        <v>1466977</v>
      </c>
      <c r="O17" s="532">
        <f t="shared" si="5"/>
        <v>6300000</v>
      </c>
      <c r="P17" s="568">
        <f t="shared" si="5"/>
        <v>0</v>
      </c>
      <c r="Q17" s="568">
        <f t="shared" si="5"/>
        <v>6300000</v>
      </c>
      <c r="R17" s="568">
        <f t="shared" si="5"/>
        <v>0</v>
      </c>
      <c r="S17" s="568">
        <f t="shared" si="5"/>
        <v>0</v>
      </c>
      <c r="T17" s="568">
        <f t="shared" si="5"/>
        <v>0</v>
      </c>
      <c r="U17" s="568">
        <f t="shared" si="5"/>
        <v>0</v>
      </c>
      <c r="V17" s="568">
        <f t="shared" si="5"/>
        <v>0</v>
      </c>
      <c r="W17" s="568">
        <f>W22+W26</f>
        <v>0</v>
      </c>
      <c r="X17" s="592"/>
      <c r="Y17" s="592"/>
    </row>
    <row r="18" spans="1:25">
      <c r="A18" s="573"/>
      <c r="B18" s="570" t="s">
        <v>718</v>
      </c>
      <c r="C18" s="577"/>
      <c r="D18" s="577"/>
      <c r="E18" s="571"/>
      <c r="F18" s="571"/>
      <c r="G18" s="571"/>
      <c r="H18" s="571"/>
      <c r="I18" s="532"/>
      <c r="J18" s="571"/>
      <c r="K18" s="571"/>
      <c r="L18" s="696"/>
      <c r="M18" s="571"/>
      <c r="N18" s="571"/>
      <c r="O18" s="316"/>
      <c r="P18" s="578"/>
      <c r="Q18" s="578"/>
      <c r="R18" s="578"/>
      <c r="S18" s="578"/>
      <c r="T18" s="577"/>
      <c r="U18" s="577"/>
      <c r="V18" s="577"/>
      <c r="W18" s="577"/>
      <c r="X18" s="592"/>
      <c r="Y18" s="592"/>
    </row>
    <row r="19" spans="1:25" ht="88.5" customHeight="1">
      <c r="A19" s="475"/>
      <c r="B19" s="565" t="s">
        <v>721</v>
      </c>
      <c r="C19" s="474"/>
      <c r="D19" s="474"/>
      <c r="E19" s="532">
        <f>F19+G19</f>
        <v>400000</v>
      </c>
      <c r="F19" s="532">
        <f>SUM(F20:F21)</f>
        <v>0</v>
      </c>
      <c r="G19" s="316">
        <f>SUM(G20:G21)</f>
        <v>400000</v>
      </c>
      <c r="H19" s="532">
        <f>I19+L19</f>
        <v>122038</v>
      </c>
      <c r="I19" s="532">
        <f t="shared" ref="I19:N19" si="6">SUM(I20:I21)</f>
        <v>0</v>
      </c>
      <c r="J19" s="532">
        <f t="shared" si="6"/>
        <v>0</v>
      </c>
      <c r="K19" s="532">
        <f t="shared" si="6"/>
        <v>0</v>
      </c>
      <c r="L19" s="699">
        <f t="shared" si="6"/>
        <v>122038</v>
      </c>
      <c r="M19" s="688">
        <f t="shared" si="6"/>
        <v>122038</v>
      </c>
      <c r="N19" s="688">
        <f t="shared" si="6"/>
        <v>0</v>
      </c>
      <c r="O19" s="532">
        <f>P19+Q19</f>
        <v>400000</v>
      </c>
      <c r="P19" s="532">
        <f t="shared" ref="P19:V19" si="7">SUM(P20:P21)</f>
        <v>0</v>
      </c>
      <c r="Q19" s="532">
        <f t="shared" si="7"/>
        <v>400000</v>
      </c>
      <c r="R19" s="532">
        <f t="shared" si="7"/>
        <v>0</v>
      </c>
      <c r="S19" s="532">
        <f t="shared" si="7"/>
        <v>0</v>
      </c>
      <c r="T19" s="532">
        <f t="shared" si="7"/>
        <v>0</v>
      </c>
      <c r="U19" s="532">
        <f t="shared" si="7"/>
        <v>0</v>
      </c>
      <c r="V19" s="532">
        <f t="shared" si="7"/>
        <v>0</v>
      </c>
      <c r="W19" s="532">
        <v>0</v>
      </c>
      <c r="X19" s="592"/>
    </row>
    <row r="20" spans="1:25" ht="42.6" customHeight="1">
      <c r="A20" s="474">
        <v>1</v>
      </c>
      <c r="B20" s="566" t="s">
        <v>723</v>
      </c>
      <c r="C20" s="474" t="s">
        <v>630</v>
      </c>
      <c r="D20" s="739">
        <v>7932686</v>
      </c>
      <c r="E20" s="529">
        <f>F20+G20</f>
        <v>300000</v>
      </c>
      <c r="F20" s="532"/>
      <c r="G20" s="529">
        <v>300000</v>
      </c>
      <c r="H20" s="529">
        <f>I20+L20</f>
        <v>111817</v>
      </c>
      <c r="I20" s="532"/>
      <c r="J20" s="532"/>
      <c r="K20" s="532"/>
      <c r="L20" s="697">
        <f>M20+N20</f>
        <v>111817</v>
      </c>
      <c r="M20" s="594">
        <v>111817</v>
      </c>
      <c r="N20" s="594"/>
      <c r="O20" s="529">
        <f>P20+Q20</f>
        <v>300000</v>
      </c>
      <c r="P20" s="532"/>
      <c r="Q20" s="529">
        <f>G20</f>
        <v>300000</v>
      </c>
      <c r="R20" s="532"/>
      <c r="S20" s="474"/>
      <c r="T20" s="474"/>
      <c r="U20" s="474"/>
      <c r="V20" s="474"/>
      <c r="W20" s="710" t="s">
        <v>883</v>
      </c>
      <c r="X20" s="592"/>
    </row>
    <row r="21" spans="1:25" ht="39.75" customHeight="1">
      <c r="A21" s="474">
        <v>2</v>
      </c>
      <c r="B21" s="537" t="s">
        <v>724</v>
      </c>
      <c r="C21" s="474" t="s">
        <v>630</v>
      </c>
      <c r="D21" s="739">
        <v>7932685</v>
      </c>
      <c r="E21" s="529">
        <f>F21+G21</f>
        <v>100000</v>
      </c>
      <c r="F21" s="532"/>
      <c r="G21" s="529">
        <v>100000</v>
      </c>
      <c r="H21" s="529">
        <f>I21+L21</f>
        <v>10221</v>
      </c>
      <c r="I21" s="532"/>
      <c r="J21" s="679"/>
      <c r="K21" s="532"/>
      <c r="L21" s="697">
        <f>M21+N21</f>
        <v>10221</v>
      </c>
      <c r="M21" s="529">
        <v>10221</v>
      </c>
      <c r="N21" s="529"/>
      <c r="O21" s="529">
        <f>P21+Q21</f>
        <v>100000</v>
      </c>
      <c r="P21" s="532"/>
      <c r="Q21" s="529">
        <f>G21</f>
        <v>100000</v>
      </c>
      <c r="R21" s="532"/>
      <c r="S21" s="474"/>
      <c r="T21" s="474"/>
      <c r="U21" s="474"/>
      <c r="V21" s="474"/>
      <c r="W21" s="710" t="s">
        <v>886</v>
      </c>
      <c r="X21" s="592"/>
    </row>
    <row r="22" spans="1:25" ht="25.5">
      <c r="A22" s="475"/>
      <c r="B22" s="535" t="s">
        <v>719</v>
      </c>
      <c r="C22" s="474"/>
      <c r="D22" s="474"/>
      <c r="E22" s="532">
        <f>E23+E24</f>
        <v>31200000</v>
      </c>
      <c r="F22" s="532">
        <f t="shared" ref="F22:V22" si="8">F23+F24</f>
        <v>0</v>
      </c>
      <c r="G22" s="532">
        <f>G23+G24</f>
        <v>31200000</v>
      </c>
      <c r="H22" s="532">
        <f t="shared" si="8"/>
        <v>1793153</v>
      </c>
      <c r="I22" s="532">
        <f t="shared" si="8"/>
        <v>0</v>
      </c>
      <c r="J22" s="532">
        <f t="shared" si="8"/>
        <v>0</v>
      </c>
      <c r="K22" s="532">
        <f t="shared" si="8"/>
        <v>0</v>
      </c>
      <c r="L22" s="699">
        <f t="shared" si="8"/>
        <v>1793153</v>
      </c>
      <c r="M22" s="688">
        <f t="shared" si="8"/>
        <v>627441</v>
      </c>
      <c r="N22" s="688">
        <f t="shared" si="8"/>
        <v>1165712</v>
      </c>
      <c r="O22" s="532">
        <f t="shared" si="8"/>
        <v>4200000</v>
      </c>
      <c r="P22" s="532">
        <f t="shared" si="8"/>
        <v>0</v>
      </c>
      <c r="Q22" s="532">
        <f t="shared" si="8"/>
        <v>4200000</v>
      </c>
      <c r="R22" s="532">
        <f t="shared" si="8"/>
        <v>0</v>
      </c>
      <c r="S22" s="532">
        <f t="shared" si="8"/>
        <v>0</v>
      </c>
      <c r="T22" s="532">
        <f t="shared" si="8"/>
        <v>0</v>
      </c>
      <c r="U22" s="532">
        <f t="shared" si="8"/>
        <v>0</v>
      </c>
      <c r="V22" s="532">
        <f t="shared" si="8"/>
        <v>0</v>
      </c>
      <c r="W22" s="532"/>
      <c r="X22" s="592"/>
      <c r="Y22" s="602"/>
    </row>
    <row r="23" spans="1:25" ht="88.5" customHeight="1">
      <c r="A23" s="474">
        <v>3</v>
      </c>
      <c r="B23" s="552" t="s">
        <v>720</v>
      </c>
      <c r="C23" s="474" t="s">
        <v>630</v>
      </c>
      <c r="D23" s="738">
        <v>7820663</v>
      </c>
      <c r="E23" s="529">
        <f t="shared" ref="E23:E59" si="9">F23+G23</f>
        <v>1200000</v>
      </c>
      <c r="F23" s="532"/>
      <c r="G23" s="528">
        <v>1200000</v>
      </c>
      <c r="H23" s="529">
        <f>I23+L23</f>
        <v>681145</v>
      </c>
      <c r="I23" s="529">
        <f>J23+K23</f>
        <v>0</v>
      </c>
      <c r="J23" s="529"/>
      <c r="K23" s="529"/>
      <c r="L23" s="697">
        <f>M23+N23</f>
        <v>681145</v>
      </c>
      <c r="M23" s="529"/>
      <c r="N23" s="529">
        <v>681145</v>
      </c>
      <c r="O23" s="529">
        <f>P23+Q23</f>
        <v>1200000</v>
      </c>
      <c r="P23" s="532"/>
      <c r="Q23" s="529">
        <f>G23</f>
        <v>1200000</v>
      </c>
      <c r="R23" s="532"/>
      <c r="S23" s="474"/>
      <c r="T23" s="474"/>
      <c r="U23" s="474"/>
      <c r="V23" s="474"/>
      <c r="W23" s="710" t="s">
        <v>887</v>
      </c>
      <c r="X23" s="592"/>
      <c r="Y23" s="593"/>
    </row>
    <row r="24" spans="1:25" ht="60.6" customHeight="1">
      <c r="A24" s="474">
        <v>4</v>
      </c>
      <c r="B24" s="713" t="s">
        <v>836</v>
      </c>
      <c r="C24" s="474" t="s">
        <v>630</v>
      </c>
      <c r="D24" s="738"/>
      <c r="E24" s="529">
        <f t="shared" si="9"/>
        <v>30000000</v>
      </c>
      <c r="F24" s="528">
        <v>0</v>
      </c>
      <c r="G24" s="528">
        <v>30000000</v>
      </c>
      <c r="H24" s="529">
        <f>I24+L24</f>
        <v>1112008</v>
      </c>
      <c r="I24" s="529">
        <f>J24+K24</f>
        <v>0</v>
      </c>
      <c r="J24" s="529"/>
      <c r="K24" s="529"/>
      <c r="L24" s="697">
        <f>M24+N24</f>
        <v>1112008</v>
      </c>
      <c r="M24" s="529">
        <v>627441</v>
      </c>
      <c r="N24" s="529">
        <v>484567</v>
      </c>
      <c r="O24" s="529">
        <f t="shared" ref="O24:O54" si="10">P24+Q24</f>
        <v>3000000</v>
      </c>
      <c r="P24" s="529"/>
      <c r="Q24" s="529">
        <v>3000000</v>
      </c>
      <c r="R24" s="532"/>
      <c r="S24" s="474"/>
      <c r="T24" s="474"/>
      <c r="U24" s="474"/>
      <c r="V24" s="474"/>
      <c r="W24" s="748" t="s">
        <v>888</v>
      </c>
      <c r="X24" s="592"/>
      <c r="Y24" s="593"/>
    </row>
    <row r="25" spans="1:25">
      <c r="A25" s="573"/>
      <c r="B25" s="570" t="s">
        <v>722</v>
      </c>
      <c r="C25" s="577"/>
      <c r="D25" s="577"/>
      <c r="E25" s="571"/>
      <c r="F25" s="571"/>
      <c r="G25" s="571"/>
      <c r="H25" s="571"/>
      <c r="I25" s="532"/>
      <c r="J25" s="571"/>
      <c r="K25" s="571"/>
      <c r="L25" s="696"/>
      <c r="M25" s="571"/>
      <c r="N25" s="571"/>
      <c r="O25" s="316"/>
      <c r="P25" s="571"/>
      <c r="Q25" s="571"/>
      <c r="R25" s="571"/>
      <c r="S25" s="577"/>
      <c r="T25" s="577"/>
      <c r="U25" s="577"/>
      <c r="V25" s="577"/>
      <c r="W25" s="474"/>
      <c r="X25" s="592"/>
    </row>
    <row r="26" spans="1:25" ht="88.5" customHeight="1">
      <c r="A26" s="475"/>
      <c r="B26" s="714" t="s">
        <v>837</v>
      </c>
      <c r="C26" s="474"/>
      <c r="D26" s="474"/>
      <c r="E26" s="532">
        <f t="shared" si="9"/>
        <v>7500000</v>
      </c>
      <c r="F26" s="532">
        <f>SUM(F27:F28)</f>
        <v>0</v>
      </c>
      <c r="G26" s="316">
        <f>SUM(G27:G28)</f>
        <v>7500000</v>
      </c>
      <c r="H26" s="532">
        <f>I26+L26</f>
        <v>1260266</v>
      </c>
      <c r="I26" s="532">
        <f t="shared" ref="I26:V26" si="11">SUM(I27:I28)</f>
        <v>0</v>
      </c>
      <c r="J26" s="532">
        <f t="shared" si="11"/>
        <v>0</v>
      </c>
      <c r="K26" s="532">
        <f t="shared" si="11"/>
        <v>0</v>
      </c>
      <c r="L26" s="699">
        <f t="shared" si="11"/>
        <v>1260266</v>
      </c>
      <c r="M26" s="688">
        <f t="shared" si="11"/>
        <v>959001</v>
      </c>
      <c r="N26" s="688">
        <f t="shared" si="11"/>
        <v>301265</v>
      </c>
      <c r="O26" s="532">
        <f t="shared" si="10"/>
        <v>1700000</v>
      </c>
      <c r="P26" s="532">
        <f t="shared" si="11"/>
        <v>0</v>
      </c>
      <c r="Q26" s="532">
        <f t="shared" si="11"/>
        <v>1700000</v>
      </c>
      <c r="R26" s="532">
        <f t="shared" si="11"/>
        <v>0</v>
      </c>
      <c r="S26" s="532">
        <f t="shared" si="11"/>
        <v>0</v>
      </c>
      <c r="T26" s="532">
        <f t="shared" si="11"/>
        <v>0</v>
      </c>
      <c r="U26" s="532">
        <f t="shared" si="11"/>
        <v>0</v>
      </c>
      <c r="V26" s="532">
        <f t="shared" si="11"/>
        <v>0</v>
      </c>
      <c r="W26" s="532">
        <v>0</v>
      </c>
      <c r="X26" s="592"/>
    </row>
    <row r="27" spans="1:25" ht="42.6" customHeight="1">
      <c r="A27" s="474">
        <v>5</v>
      </c>
      <c r="B27" s="713" t="s">
        <v>838</v>
      </c>
      <c r="C27" s="474" t="s">
        <v>630</v>
      </c>
      <c r="D27" s="739"/>
      <c r="E27" s="529">
        <f t="shared" si="9"/>
        <v>2500000</v>
      </c>
      <c r="F27" s="532"/>
      <c r="G27" s="529">
        <v>2500000</v>
      </c>
      <c r="H27" s="529">
        <f>I27+L27</f>
        <v>914183</v>
      </c>
      <c r="I27" s="532"/>
      <c r="J27" s="532"/>
      <c r="K27" s="532"/>
      <c r="L27" s="697">
        <f>M27+N27</f>
        <v>914183</v>
      </c>
      <c r="M27" s="594">
        <v>914183</v>
      </c>
      <c r="N27" s="594">
        <v>0</v>
      </c>
      <c r="O27" s="529">
        <f t="shared" si="10"/>
        <v>700000</v>
      </c>
      <c r="P27" s="532"/>
      <c r="Q27" s="529">
        <v>700000</v>
      </c>
      <c r="R27" s="532"/>
      <c r="S27" s="474"/>
      <c r="T27" s="474"/>
      <c r="U27" s="474"/>
      <c r="V27" s="474"/>
      <c r="W27" s="474" t="s">
        <v>641</v>
      </c>
      <c r="X27" s="592"/>
    </row>
    <row r="28" spans="1:25" ht="39.75" customHeight="1">
      <c r="A28" s="474">
        <v>6</v>
      </c>
      <c r="B28" s="713" t="s">
        <v>839</v>
      </c>
      <c r="C28" s="474" t="s">
        <v>630</v>
      </c>
      <c r="D28" s="739"/>
      <c r="E28" s="529">
        <f t="shared" si="9"/>
        <v>5000000</v>
      </c>
      <c r="F28" s="532"/>
      <c r="G28" s="529">
        <v>5000000</v>
      </c>
      <c r="H28" s="529">
        <f>I28+L28</f>
        <v>346083</v>
      </c>
      <c r="I28" s="532"/>
      <c r="J28" s="679"/>
      <c r="K28" s="532"/>
      <c r="L28" s="697">
        <f>M28+N28</f>
        <v>346083</v>
      </c>
      <c r="M28" s="529">
        <v>44818</v>
      </c>
      <c r="N28" s="529">
        <v>301265</v>
      </c>
      <c r="O28" s="529">
        <f t="shared" si="10"/>
        <v>1000000</v>
      </c>
      <c r="P28" s="532"/>
      <c r="Q28" s="529">
        <v>1000000</v>
      </c>
      <c r="R28" s="532"/>
      <c r="S28" s="474"/>
      <c r="T28" s="474"/>
      <c r="U28" s="474"/>
      <c r="V28" s="474"/>
      <c r="W28" s="474" t="s">
        <v>641</v>
      </c>
      <c r="X28" s="592"/>
    </row>
    <row r="29" spans="1:25">
      <c r="A29" s="574" t="s">
        <v>631</v>
      </c>
      <c r="B29" s="575" t="s">
        <v>250</v>
      </c>
      <c r="C29" s="558"/>
      <c r="D29" s="558"/>
      <c r="E29" s="576">
        <f>E31+E48+E50+E55+E60</f>
        <v>84180000</v>
      </c>
      <c r="F29" s="576">
        <f t="shared" ref="F29:U29" si="12">F31+F48+F50+F55+F60</f>
        <v>0</v>
      </c>
      <c r="G29" s="576">
        <f t="shared" si="12"/>
        <v>84180000</v>
      </c>
      <c r="H29" s="576">
        <f t="shared" si="12"/>
        <v>7950025</v>
      </c>
      <c r="I29" s="316">
        <f t="shared" si="12"/>
        <v>0</v>
      </c>
      <c r="J29" s="576">
        <f t="shared" si="12"/>
        <v>0</v>
      </c>
      <c r="K29" s="576">
        <f t="shared" si="12"/>
        <v>0</v>
      </c>
      <c r="L29" s="316">
        <f t="shared" si="12"/>
        <v>11176724</v>
      </c>
      <c r="M29" s="576">
        <f t="shared" si="12"/>
        <v>8084524</v>
      </c>
      <c r="N29" s="576">
        <f t="shared" si="12"/>
        <v>3092200</v>
      </c>
      <c r="O29" s="316">
        <f t="shared" si="12"/>
        <v>15670000</v>
      </c>
      <c r="P29" s="576">
        <f t="shared" si="12"/>
        <v>0</v>
      </c>
      <c r="Q29" s="576">
        <f t="shared" si="12"/>
        <v>15670000</v>
      </c>
      <c r="R29" s="576">
        <f t="shared" si="12"/>
        <v>0</v>
      </c>
      <c r="S29" s="576">
        <f t="shared" si="12"/>
        <v>0</v>
      </c>
      <c r="T29" s="576">
        <f t="shared" si="12"/>
        <v>0</v>
      </c>
      <c r="U29" s="576">
        <f t="shared" si="12"/>
        <v>0</v>
      </c>
      <c r="V29" s="576"/>
      <c r="W29" s="576"/>
      <c r="X29" s="592"/>
    </row>
    <row r="30" spans="1:25">
      <c r="A30" s="573"/>
      <c r="B30" s="570" t="s">
        <v>718</v>
      </c>
      <c r="C30" s="577"/>
      <c r="D30" s="577"/>
      <c r="E30" s="571"/>
      <c r="F30" s="571"/>
      <c r="G30" s="578"/>
      <c r="H30" s="578"/>
      <c r="I30" s="316"/>
      <c r="J30" s="578"/>
      <c r="K30" s="578"/>
      <c r="L30" s="698"/>
      <c r="M30" s="578"/>
      <c r="N30" s="578"/>
      <c r="O30" s="316"/>
      <c r="P30" s="571"/>
      <c r="Q30" s="571"/>
      <c r="R30" s="571"/>
      <c r="S30" s="577"/>
      <c r="T30" s="577"/>
      <c r="U30" s="577"/>
      <c r="V30" s="577"/>
      <c r="W30" s="474"/>
      <c r="X30" s="592"/>
    </row>
    <row r="31" spans="1:25" ht="65.25" customHeight="1">
      <c r="A31" s="475" t="s">
        <v>748</v>
      </c>
      <c r="B31" s="715" t="s">
        <v>840</v>
      </c>
      <c r="C31" s="474"/>
      <c r="D31" s="474"/>
      <c r="E31" s="532">
        <f>SUM(E32:E47)</f>
        <v>31480000</v>
      </c>
      <c r="F31" s="532">
        <f t="shared" ref="F31:V31" si="13">SUM(F32:F47)</f>
        <v>0</v>
      </c>
      <c r="G31" s="532">
        <f t="shared" si="13"/>
        <v>31480000</v>
      </c>
      <c r="H31" s="532">
        <f t="shared" si="13"/>
        <v>7599971</v>
      </c>
      <c r="I31" s="532">
        <f t="shared" si="13"/>
        <v>0</v>
      </c>
      <c r="J31" s="532">
        <f t="shared" si="13"/>
        <v>0</v>
      </c>
      <c r="K31" s="532">
        <f t="shared" si="13"/>
        <v>0</v>
      </c>
      <c r="L31" s="532">
        <f t="shared" si="13"/>
        <v>7602320</v>
      </c>
      <c r="M31" s="532">
        <f t="shared" si="13"/>
        <v>7602320</v>
      </c>
      <c r="N31" s="532">
        <f t="shared" si="13"/>
        <v>0</v>
      </c>
      <c r="O31" s="532">
        <f t="shared" si="13"/>
        <v>8900000</v>
      </c>
      <c r="P31" s="532">
        <f t="shared" si="13"/>
        <v>0</v>
      </c>
      <c r="Q31" s="532">
        <f t="shared" si="13"/>
        <v>8900000</v>
      </c>
      <c r="R31" s="532">
        <f t="shared" si="13"/>
        <v>0</v>
      </c>
      <c r="S31" s="532">
        <f t="shared" si="13"/>
        <v>0</v>
      </c>
      <c r="T31" s="532">
        <f t="shared" si="13"/>
        <v>0</v>
      </c>
      <c r="U31" s="532">
        <f t="shared" si="13"/>
        <v>0</v>
      </c>
      <c r="V31" s="532">
        <f t="shared" si="13"/>
        <v>0</v>
      </c>
      <c r="W31" s="532">
        <v>0</v>
      </c>
      <c r="X31" s="592"/>
    </row>
    <row r="32" spans="1:25" ht="25.5">
      <c r="A32" s="553" t="s">
        <v>749</v>
      </c>
      <c r="B32" s="672" t="s">
        <v>725</v>
      </c>
      <c r="C32" s="474"/>
      <c r="D32" s="474">
        <v>7875894</v>
      </c>
      <c r="E32" s="529">
        <f t="shared" si="9"/>
        <v>2000000</v>
      </c>
      <c r="F32" s="532"/>
      <c r="G32" s="528">
        <v>2000000</v>
      </c>
      <c r="H32" s="529">
        <f t="shared" ref="H32:H54" si="14">I32+L32</f>
        <v>1345147</v>
      </c>
      <c r="I32" s="529">
        <f>J32+K32</f>
        <v>0</v>
      </c>
      <c r="J32" s="532"/>
      <c r="K32" s="532"/>
      <c r="L32" s="697">
        <f t="shared" ref="L32:L44" si="15">M32+N32</f>
        <v>1345147</v>
      </c>
      <c r="M32" s="529">
        <v>1345147</v>
      </c>
      <c r="N32" s="529"/>
      <c r="O32" s="529">
        <f t="shared" si="10"/>
        <v>1000000</v>
      </c>
      <c r="P32" s="532"/>
      <c r="Q32" s="529">
        <v>1000000</v>
      </c>
      <c r="R32" s="532"/>
      <c r="S32" s="474"/>
      <c r="T32" s="474"/>
      <c r="U32" s="474"/>
      <c r="V32" s="474"/>
      <c r="W32" s="711" t="s">
        <v>889</v>
      </c>
      <c r="X32" s="592"/>
    </row>
    <row r="33" spans="1:24" ht="15">
      <c r="A33" s="553" t="s">
        <v>750</v>
      </c>
      <c r="B33" s="672" t="s">
        <v>726</v>
      </c>
      <c r="C33" s="474"/>
      <c r="D33" s="474">
        <v>7875895</v>
      </c>
      <c r="E33" s="529">
        <f t="shared" si="9"/>
        <v>500000</v>
      </c>
      <c r="F33" s="532"/>
      <c r="G33" s="528">
        <v>500000</v>
      </c>
      <c r="H33" s="529">
        <f t="shared" si="14"/>
        <v>33586</v>
      </c>
      <c r="I33" s="529">
        <f>J33+K33</f>
        <v>0</v>
      </c>
      <c r="J33" s="532"/>
      <c r="K33" s="532"/>
      <c r="L33" s="697">
        <f t="shared" si="15"/>
        <v>33586</v>
      </c>
      <c r="M33" s="529">
        <v>33586</v>
      </c>
      <c r="N33" s="529"/>
      <c r="O33" s="529">
        <f t="shared" si="10"/>
        <v>50000</v>
      </c>
      <c r="P33" s="532"/>
      <c r="Q33" s="529">
        <f t="shared" ref="Q33:Q47" si="16">G33*0.1</f>
        <v>50000</v>
      </c>
      <c r="R33" s="532"/>
      <c r="S33" s="474"/>
      <c r="T33" s="474"/>
      <c r="U33" s="474"/>
      <c r="V33" s="474"/>
      <c r="W33" s="711" t="s">
        <v>886</v>
      </c>
      <c r="X33" s="592"/>
    </row>
    <row r="34" spans="1:24" ht="44.25" customHeight="1">
      <c r="A34" s="553" t="s">
        <v>751</v>
      </c>
      <c r="B34" s="672" t="s">
        <v>727</v>
      </c>
      <c r="C34" s="474"/>
      <c r="D34" s="474">
        <v>7875893</v>
      </c>
      <c r="E34" s="529">
        <f t="shared" si="9"/>
        <v>4000000</v>
      </c>
      <c r="F34" s="532"/>
      <c r="G34" s="528">
        <v>4000000</v>
      </c>
      <c r="H34" s="529">
        <f t="shared" si="14"/>
        <v>165278</v>
      </c>
      <c r="I34" s="529">
        <f>J34+K34</f>
        <v>0</v>
      </c>
      <c r="J34" s="532"/>
      <c r="K34" s="532"/>
      <c r="L34" s="697">
        <f t="shared" si="15"/>
        <v>165278</v>
      </c>
      <c r="M34" s="529">
        <v>165278</v>
      </c>
      <c r="N34" s="532"/>
      <c r="O34" s="529">
        <f t="shared" si="10"/>
        <v>400000</v>
      </c>
      <c r="P34" s="532"/>
      <c r="Q34" s="529">
        <f t="shared" si="16"/>
        <v>400000</v>
      </c>
      <c r="R34" s="532"/>
      <c r="S34" s="474"/>
      <c r="T34" s="474"/>
      <c r="U34" s="474"/>
      <c r="V34" s="474"/>
      <c r="W34" s="744" t="s">
        <v>890</v>
      </c>
      <c r="X34" s="592"/>
    </row>
    <row r="35" spans="1:24" ht="44.25" customHeight="1">
      <c r="A35" s="553" t="s">
        <v>752</v>
      </c>
      <c r="B35" s="672" t="s">
        <v>729</v>
      </c>
      <c r="C35" s="474"/>
      <c r="D35" s="474">
        <v>7875928</v>
      </c>
      <c r="E35" s="529">
        <f t="shared" si="9"/>
        <v>500000</v>
      </c>
      <c r="F35" s="529"/>
      <c r="G35" s="528">
        <v>500000</v>
      </c>
      <c r="H35" s="529">
        <f t="shared" si="14"/>
        <v>204682</v>
      </c>
      <c r="I35" s="529"/>
      <c r="J35" s="529"/>
      <c r="K35" s="532"/>
      <c r="L35" s="697">
        <f t="shared" si="15"/>
        <v>204682</v>
      </c>
      <c r="M35" s="529">
        <v>204682</v>
      </c>
      <c r="N35" s="529"/>
      <c r="O35" s="529">
        <f t="shared" si="10"/>
        <v>300000</v>
      </c>
      <c r="P35" s="529"/>
      <c r="Q35" s="529">
        <v>300000</v>
      </c>
      <c r="R35" s="532"/>
      <c r="S35" s="474"/>
      <c r="T35" s="474"/>
      <c r="U35" s="474"/>
      <c r="V35" s="474"/>
      <c r="W35" s="711" t="s">
        <v>886</v>
      </c>
      <c r="X35" s="592"/>
    </row>
    <row r="36" spans="1:24" ht="25.5">
      <c r="A36" s="553" t="s">
        <v>753</v>
      </c>
      <c r="B36" s="672" t="s">
        <v>730</v>
      </c>
      <c r="C36" s="474"/>
      <c r="D36" s="474">
        <v>7875890</v>
      </c>
      <c r="E36" s="529">
        <f t="shared" si="9"/>
        <v>4000000</v>
      </c>
      <c r="F36" s="532"/>
      <c r="G36" s="528">
        <v>4000000</v>
      </c>
      <c r="H36" s="529">
        <f t="shared" si="14"/>
        <v>417997</v>
      </c>
      <c r="I36" s="529"/>
      <c r="J36" s="532"/>
      <c r="K36" s="532"/>
      <c r="L36" s="697">
        <f t="shared" si="15"/>
        <v>417997</v>
      </c>
      <c r="M36" s="529">
        <v>417997</v>
      </c>
      <c r="N36" s="529"/>
      <c r="O36" s="529">
        <f t="shared" si="10"/>
        <v>500000</v>
      </c>
      <c r="P36" s="532"/>
      <c r="Q36" s="529">
        <v>500000</v>
      </c>
      <c r="R36" s="532"/>
      <c r="S36" s="474"/>
      <c r="T36" s="474"/>
      <c r="U36" s="474"/>
      <c r="V36" s="474"/>
      <c r="W36" s="745" t="s">
        <v>891</v>
      </c>
      <c r="X36" s="592"/>
    </row>
    <row r="37" spans="1:24" ht="25.5">
      <c r="A37" s="553" t="s">
        <v>754</v>
      </c>
      <c r="B37" s="672" t="s">
        <v>733</v>
      </c>
      <c r="C37" s="474"/>
      <c r="D37" s="474">
        <v>7875887</v>
      </c>
      <c r="E37" s="529">
        <f t="shared" si="9"/>
        <v>6200000</v>
      </c>
      <c r="F37" s="529"/>
      <c r="G37" s="528">
        <v>6200000</v>
      </c>
      <c r="H37" s="529">
        <f t="shared" si="14"/>
        <v>80087</v>
      </c>
      <c r="I37" s="529"/>
      <c r="J37" s="529"/>
      <c r="K37" s="532"/>
      <c r="L37" s="697">
        <f t="shared" si="15"/>
        <v>80087</v>
      </c>
      <c r="M37" s="529">
        <v>80087</v>
      </c>
      <c r="N37" s="529"/>
      <c r="O37" s="529">
        <f t="shared" si="10"/>
        <v>620000</v>
      </c>
      <c r="P37" s="529"/>
      <c r="Q37" s="529">
        <f t="shared" si="16"/>
        <v>620000</v>
      </c>
      <c r="R37" s="532"/>
      <c r="S37" s="474"/>
      <c r="T37" s="474"/>
      <c r="U37" s="474"/>
      <c r="V37" s="474"/>
      <c r="W37" s="712" t="s">
        <v>892</v>
      </c>
      <c r="X37" s="592"/>
    </row>
    <row r="38" spans="1:24" ht="30">
      <c r="A38" s="553" t="s">
        <v>755</v>
      </c>
      <c r="B38" s="672" t="s">
        <v>734</v>
      </c>
      <c r="C38" s="474"/>
      <c r="D38" s="474">
        <v>7889687</v>
      </c>
      <c r="E38" s="529">
        <f t="shared" si="9"/>
        <v>1000000</v>
      </c>
      <c r="F38" s="532"/>
      <c r="G38" s="528">
        <v>1000000</v>
      </c>
      <c r="H38" s="529">
        <f t="shared" si="14"/>
        <v>1000000</v>
      </c>
      <c r="I38" s="529"/>
      <c r="J38" s="532"/>
      <c r="K38" s="532"/>
      <c r="L38" s="697">
        <f t="shared" si="15"/>
        <v>1000000</v>
      </c>
      <c r="M38" s="529">
        <v>1000000</v>
      </c>
      <c r="N38" s="529"/>
      <c r="O38" s="529">
        <f t="shared" si="10"/>
        <v>1000000</v>
      </c>
      <c r="P38" s="532"/>
      <c r="Q38" s="529">
        <v>1000000</v>
      </c>
      <c r="R38" s="532"/>
      <c r="S38" s="474"/>
      <c r="T38" s="474"/>
      <c r="U38" s="474"/>
      <c r="V38" s="474"/>
      <c r="W38" s="712" t="s">
        <v>893</v>
      </c>
      <c r="X38" s="592"/>
    </row>
    <row r="39" spans="1:24" ht="15">
      <c r="A39" s="553" t="s">
        <v>756</v>
      </c>
      <c r="B39" s="672" t="s">
        <v>735</v>
      </c>
      <c r="C39" s="474"/>
      <c r="D39" s="474">
        <v>7889689</v>
      </c>
      <c r="E39" s="529">
        <f t="shared" si="9"/>
        <v>500000</v>
      </c>
      <c r="F39" s="529"/>
      <c r="G39" s="528">
        <v>500000</v>
      </c>
      <c r="H39" s="529">
        <f t="shared" si="14"/>
        <v>0</v>
      </c>
      <c r="I39" s="529"/>
      <c r="J39" s="529"/>
      <c r="K39" s="532"/>
      <c r="L39" s="697">
        <f t="shared" si="15"/>
        <v>0</v>
      </c>
      <c r="M39" s="529"/>
      <c r="N39" s="532"/>
      <c r="O39" s="529">
        <f t="shared" si="10"/>
        <v>50000</v>
      </c>
      <c r="P39" s="529"/>
      <c r="Q39" s="529">
        <f t="shared" si="16"/>
        <v>50000</v>
      </c>
      <c r="R39" s="532"/>
      <c r="S39" s="474"/>
      <c r="T39" s="474"/>
      <c r="U39" s="474"/>
      <c r="V39" s="474"/>
      <c r="W39" s="712" t="s">
        <v>886</v>
      </c>
      <c r="X39" s="592"/>
    </row>
    <row r="40" spans="1:24" ht="79.5" customHeight="1">
      <c r="A40" s="553" t="s">
        <v>757</v>
      </c>
      <c r="B40" s="672" t="s">
        <v>736</v>
      </c>
      <c r="C40" s="474"/>
      <c r="D40" s="474">
        <v>7889688</v>
      </c>
      <c r="E40" s="529">
        <f t="shared" si="9"/>
        <v>1000000</v>
      </c>
      <c r="F40" s="529"/>
      <c r="G40" s="528">
        <v>1000000</v>
      </c>
      <c r="H40" s="529">
        <f t="shared" si="14"/>
        <v>117221</v>
      </c>
      <c r="I40" s="529"/>
      <c r="J40" s="529"/>
      <c r="K40" s="532"/>
      <c r="L40" s="697">
        <f t="shared" si="15"/>
        <v>117221</v>
      </c>
      <c r="M40" s="529">
        <v>117221</v>
      </c>
      <c r="N40" s="532"/>
      <c r="O40" s="529">
        <f t="shared" si="10"/>
        <v>200000</v>
      </c>
      <c r="P40" s="529"/>
      <c r="Q40" s="529">
        <v>200000</v>
      </c>
      <c r="R40" s="532"/>
      <c r="S40" s="474"/>
      <c r="T40" s="474"/>
      <c r="U40" s="474"/>
      <c r="V40" s="474"/>
      <c r="W40" s="712" t="s">
        <v>894</v>
      </c>
      <c r="X40" s="592"/>
    </row>
    <row r="41" spans="1:24" ht="15">
      <c r="A41" s="553" t="s">
        <v>758</v>
      </c>
      <c r="B41" s="672" t="s">
        <v>738</v>
      </c>
      <c r="C41" s="474"/>
      <c r="D41" s="474">
        <v>7889686</v>
      </c>
      <c r="E41" s="529">
        <f t="shared" si="9"/>
        <v>680000</v>
      </c>
      <c r="F41" s="532"/>
      <c r="G41" s="528">
        <v>680000</v>
      </c>
      <c r="H41" s="529">
        <f t="shared" si="14"/>
        <v>680000</v>
      </c>
      <c r="I41" s="529">
        <f>J41+K41</f>
        <v>0</v>
      </c>
      <c r="J41" s="532"/>
      <c r="K41" s="532"/>
      <c r="L41" s="697">
        <f t="shared" si="15"/>
        <v>680000</v>
      </c>
      <c r="M41" s="529">
        <v>680000</v>
      </c>
      <c r="N41" s="529"/>
      <c r="O41" s="529">
        <f t="shared" si="10"/>
        <v>700000</v>
      </c>
      <c r="P41" s="532"/>
      <c r="Q41" s="529">
        <v>700000</v>
      </c>
      <c r="R41" s="532"/>
      <c r="S41" s="474"/>
      <c r="T41" s="474"/>
      <c r="U41" s="474"/>
      <c r="V41" s="474"/>
      <c r="W41" s="712" t="s">
        <v>895</v>
      </c>
      <c r="X41" s="592"/>
    </row>
    <row r="42" spans="1:24" ht="48.75" customHeight="1">
      <c r="A42" s="553" t="s">
        <v>759</v>
      </c>
      <c r="B42" s="716" t="s">
        <v>728</v>
      </c>
      <c r="C42" s="474"/>
      <c r="D42" s="474">
        <v>7875891</v>
      </c>
      <c r="E42" s="529">
        <f t="shared" si="9"/>
        <v>2000000</v>
      </c>
      <c r="F42" s="532"/>
      <c r="G42" s="528">
        <v>2000000</v>
      </c>
      <c r="H42" s="529">
        <f t="shared" si="14"/>
        <v>2000000</v>
      </c>
      <c r="I42" s="529">
        <f>J42+K42</f>
        <v>0</v>
      </c>
      <c r="J42" s="532"/>
      <c r="K42" s="532"/>
      <c r="L42" s="697">
        <f t="shared" si="15"/>
        <v>2000000</v>
      </c>
      <c r="M42" s="529">
        <v>2000000</v>
      </c>
      <c r="N42" s="529"/>
      <c r="O42" s="529">
        <f t="shared" si="10"/>
        <v>2000000</v>
      </c>
      <c r="P42" s="532"/>
      <c r="Q42" s="529">
        <v>2000000</v>
      </c>
      <c r="R42" s="532"/>
      <c r="S42" s="474"/>
      <c r="T42" s="474"/>
      <c r="U42" s="474"/>
      <c r="V42" s="474"/>
      <c r="W42" s="711" t="s">
        <v>886</v>
      </c>
      <c r="X42" s="592"/>
    </row>
    <row r="43" spans="1:24" ht="44.25" customHeight="1">
      <c r="A43" s="553" t="s">
        <v>760</v>
      </c>
      <c r="B43" s="716" t="s">
        <v>731</v>
      </c>
      <c r="C43" s="474"/>
      <c r="D43" s="474">
        <v>7875888</v>
      </c>
      <c r="E43" s="529">
        <f t="shared" si="9"/>
        <v>1800000</v>
      </c>
      <c r="F43" s="532"/>
      <c r="G43" s="528">
        <v>1800000</v>
      </c>
      <c r="H43" s="529">
        <f t="shared" si="14"/>
        <v>138258</v>
      </c>
      <c r="I43" s="529">
        <f>J43+K43</f>
        <v>0</v>
      </c>
      <c r="J43" s="532"/>
      <c r="K43" s="532"/>
      <c r="L43" s="697">
        <f t="shared" si="15"/>
        <v>138258</v>
      </c>
      <c r="M43" s="529">
        <v>138258</v>
      </c>
      <c r="N43" s="529"/>
      <c r="O43" s="529">
        <f t="shared" si="10"/>
        <v>180000</v>
      </c>
      <c r="P43" s="532"/>
      <c r="Q43" s="529">
        <f t="shared" si="16"/>
        <v>180000</v>
      </c>
      <c r="R43" s="532"/>
      <c r="S43" s="474"/>
      <c r="T43" s="474"/>
      <c r="U43" s="474"/>
      <c r="V43" s="474"/>
      <c r="W43" s="712" t="s">
        <v>896</v>
      </c>
      <c r="X43" s="592"/>
    </row>
    <row r="44" spans="1:24" ht="44.25" customHeight="1">
      <c r="A44" s="553" t="s">
        <v>761</v>
      </c>
      <c r="B44" s="716" t="s">
        <v>732</v>
      </c>
      <c r="C44" s="474"/>
      <c r="D44" s="474">
        <v>7875889</v>
      </c>
      <c r="E44" s="529">
        <f t="shared" si="9"/>
        <v>1300000</v>
      </c>
      <c r="F44" s="532"/>
      <c r="G44" s="528">
        <v>1300000</v>
      </c>
      <c r="H44" s="529">
        <f t="shared" si="14"/>
        <v>1300000</v>
      </c>
      <c r="I44" s="529">
        <f>J44+K44</f>
        <v>0</v>
      </c>
      <c r="J44" s="532"/>
      <c r="K44" s="532"/>
      <c r="L44" s="697">
        <f t="shared" si="15"/>
        <v>1300000</v>
      </c>
      <c r="M44" s="529">
        <v>1300000</v>
      </c>
      <c r="N44" s="529"/>
      <c r="O44" s="529">
        <f t="shared" si="10"/>
        <v>1300000</v>
      </c>
      <c r="P44" s="532"/>
      <c r="Q44" s="529">
        <v>1300000</v>
      </c>
      <c r="R44" s="532"/>
      <c r="S44" s="474"/>
      <c r="T44" s="474"/>
      <c r="U44" s="474"/>
      <c r="V44" s="474"/>
      <c r="W44" s="712" t="s">
        <v>832</v>
      </c>
      <c r="X44" s="592"/>
    </row>
    <row r="45" spans="1:24" ht="54" customHeight="1">
      <c r="A45" s="553" t="s">
        <v>762</v>
      </c>
      <c r="B45" s="716" t="s">
        <v>737</v>
      </c>
      <c r="C45" s="474"/>
      <c r="D45" s="474">
        <v>7889690</v>
      </c>
      <c r="E45" s="529">
        <f t="shared" si="9"/>
        <v>3000000</v>
      </c>
      <c r="F45" s="532"/>
      <c r="G45" s="528">
        <v>3000000</v>
      </c>
      <c r="H45" s="529">
        <f t="shared" si="14"/>
        <v>117715</v>
      </c>
      <c r="I45" s="529">
        <f>J45+K45</f>
        <v>0</v>
      </c>
      <c r="J45" s="532"/>
      <c r="K45" s="532"/>
      <c r="L45" s="697">
        <f>M45+N45</f>
        <v>117715</v>
      </c>
      <c r="M45" s="529">
        <v>117715</v>
      </c>
      <c r="N45" s="529"/>
      <c r="O45" s="529">
        <f t="shared" si="10"/>
        <v>300000</v>
      </c>
      <c r="P45" s="532"/>
      <c r="Q45" s="529">
        <f t="shared" si="16"/>
        <v>300000</v>
      </c>
      <c r="R45" s="532"/>
      <c r="S45" s="474"/>
      <c r="T45" s="474"/>
      <c r="U45" s="474"/>
      <c r="V45" s="474"/>
      <c r="W45" s="712" t="s">
        <v>897</v>
      </c>
      <c r="X45" s="592"/>
    </row>
    <row r="46" spans="1:24" ht="54" customHeight="1">
      <c r="A46" s="553" t="s">
        <v>858</v>
      </c>
      <c r="B46" s="716" t="s">
        <v>739</v>
      </c>
      <c r="C46" s="474"/>
      <c r="D46" s="474">
        <v>7932683</v>
      </c>
      <c r="E46" s="529">
        <f t="shared" si="9"/>
        <v>2000000</v>
      </c>
      <c r="F46" s="532"/>
      <c r="G46" s="528">
        <v>2000000</v>
      </c>
      <c r="H46" s="529"/>
      <c r="I46" s="529"/>
      <c r="J46" s="532"/>
      <c r="K46" s="532"/>
      <c r="L46" s="697">
        <f>M46+N46</f>
        <v>0</v>
      </c>
      <c r="M46" s="529"/>
      <c r="N46" s="529"/>
      <c r="O46" s="529">
        <f t="shared" si="10"/>
        <v>200000</v>
      </c>
      <c r="P46" s="532"/>
      <c r="Q46" s="529">
        <f t="shared" si="16"/>
        <v>200000</v>
      </c>
      <c r="R46" s="532"/>
      <c r="S46" s="474"/>
      <c r="T46" s="474"/>
      <c r="U46" s="474"/>
      <c r="V46" s="474"/>
      <c r="W46" s="710" t="s">
        <v>898</v>
      </c>
      <c r="X46" s="592"/>
    </row>
    <row r="47" spans="1:24" ht="54" customHeight="1">
      <c r="A47" s="553" t="s">
        <v>859</v>
      </c>
      <c r="B47" s="716" t="s">
        <v>740</v>
      </c>
      <c r="C47" s="474"/>
      <c r="D47" s="474">
        <v>7932677</v>
      </c>
      <c r="E47" s="529">
        <f t="shared" si="9"/>
        <v>1000000</v>
      </c>
      <c r="F47" s="532"/>
      <c r="G47" s="528">
        <v>1000000</v>
      </c>
      <c r="H47" s="529"/>
      <c r="I47" s="529"/>
      <c r="J47" s="532"/>
      <c r="K47" s="532"/>
      <c r="L47" s="697">
        <f>M47+N47</f>
        <v>2349</v>
      </c>
      <c r="M47" s="529">
        <v>2349</v>
      </c>
      <c r="N47" s="529"/>
      <c r="O47" s="529">
        <f t="shared" si="10"/>
        <v>100000</v>
      </c>
      <c r="P47" s="532"/>
      <c r="Q47" s="529">
        <f t="shared" si="16"/>
        <v>100000</v>
      </c>
      <c r="R47" s="532"/>
      <c r="S47" s="474"/>
      <c r="T47" s="474"/>
      <c r="U47" s="474"/>
      <c r="V47" s="474"/>
      <c r="W47" s="710" t="s">
        <v>899</v>
      </c>
      <c r="X47" s="592"/>
    </row>
    <row r="48" spans="1:24" ht="54" customHeight="1">
      <c r="A48" s="554" t="s">
        <v>763</v>
      </c>
      <c r="B48" s="717" t="s">
        <v>841</v>
      </c>
      <c r="C48" s="474"/>
      <c r="D48" s="474"/>
      <c r="E48" s="532">
        <f>E49</f>
        <v>15000000</v>
      </c>
      <c r="F48" s="532">
        <f t="shared" ref="F48:V48" si="17">F49</f>
        <v>0</v>
      </c>
      <c r="G48" s="532">
        <f t="shared" si="17"/>
        <v>15000000</v>
      </c>
      <c r="H48" s="532">
        <f t="shared" si="17"/>
        <v>0</v>
      </c>
      <c r="I48" s="532">
        <f t="shared" si="17"/>
        <v>0</v>
      </c>
      <c r="J48" s="532">
        <f t="shared" si="17"/>
        <v>0</v>
      </c>
      <c r="K48" s="532">
        <f t="shared" si="17"/>
        <v>0</v>
      </c>
      <c r="L48" s="532">
        <f t="shared" si="17"/>
        <v>2898799</v>
      </c>
      <c r="M48" s="532">
        <f t="shared" si="17"/>
        <v>92640</v>
      </c>
      <c r="N48" s="532">
        <f t="shared" si="17"/>
        <v>2806159</v>
      </c>
      <c r="O48" s="532">
        <f t="shared" si="17"/>
        <v>3000000</v>
      </c>
      <c r="P48" s="532">
        <f t="shared" si="17"/>
        <v>0</v>
      </c>
      <c r="Q48" s="532">
        <f t="shared" si="17"/>
        <v>3000000</v>
      </c>
      <c r="R48" s="532">
        <f t="shared" si="17"/>
        <v>0</v>
      </c>
      <c r="S48" s="532">
        <f t="shared" si="17"/>
        <v>0</v>
      </c>
      <c r="T48" s="532">
        <f t="shared" si="17"/>
        <v>0</v>
      </c>
      <c r="U48" s="532">
        <f t="shared" si="17"/>
        <v>0</v>
      </c>
      <c r="V48" s="532">
        <f t="shared" si="17"/>
        <v>0</v>
      </c>
      <c r="W48" s="712"/>
      <c r="X48" s="592"/>
    </row>
    <row r="49" spans="1:55" ht="54" customHeight="1">
      <c r="A49" s="553" t="s">
        <v>764</v>
      </c>
      <c r="B49" s="718" t="s">
        <v>842</v>
      </c>
      <c r="C49" s="474"/>
      <c r="D49" s="738">
        <v>7833604</v>
      </c>
      <c r="E49" s="529">
        <f t="shared" si="9"/>
        <v>15000000</v>
      </c>
      <c r="F49" s="532"/>
      <c r="G49" s="529">
        <v>15000000</v>
      </c>
      <c r="H49" s="529"/>
      <c r="I49" s="529">
        <f>J49+K49</f>
        <v>0</v>
      </c>
      <c r="J49" s="532"/>
      <c r="K49" s="532"/>
      <c r="L49" s="697">
        <f>M49+N49</f>
        <v>2898799</v>
      </c>
      <c r="M49" s="529">
        <v>92640</v>
      </c>
      <c r="N49" s="529">
        <v>2806159</v>
      </c>
      <c r="O49" s="529">
        <f>P49+Q49</f>
        <v>3000000</v>
      </c>
      <c r="P49" s="532"/>
      <c r="Q49" s="529">
        <v>3000000</v>
      </c>
      <c r="R49" s="532"/>
      <c r="S49" s="474"/>
      <c r="T49" s="474"/>
      <c r="U49" s="474"/>
      <c r="V49" s="474"/>
      <c r="W49" s="710" t="s">
        <v>900</v>
      </c>
      <c r="X49" s="592"/>
    </row>
    <row r="50" spans="1:55" ht="66.75" customHeight="1">
      <c r="A50" s="554" t="s">
        <v>860</v>
      </c>
      <c r="B50" s="719" t="s">
        <v>843</v>
      </c>
      <c r="C50" s="474"/>
      <c r="D50" s="474"/>
      <c r="E50" s="532">
        <f>SUM(E51:E54)</f>
        <v>19100000</v>
      </c>
      <c r="F50" s="532">
        <f t="shared" ref="F50:U50" si="18">SUM(F51:F54)</f>
        <v>0</v>
      </c>
      <c r="G50" s="532">
        <f t="shared" si="18"/>
        <v>19100000</v>
      </c>
      <c r="H50" s="532">
        <f t="shared" si="18"/>
        <v>274617</v>
      </c>
      <c r="I50" s="532">
        <f t="shared" si="18"/>
        <v>0</v>
      </c>
      <c r="J50" s="532">
        <f t="shared" si="18"/>
        <v>0</v>
      </c>
      <c r="K50" s="532">
        <f t="shared" si="18"/>
        <v>0</v>
      </c>
      <c r="L50" s="532">
        <f t="shared" si="18"/>
        <v>274617</v>
      </c>
      <c r="M50" s="532">
        <f t="shared" si="18"/>
        <v>274617</v>
      </c>
      <c r="N50" s="532">
        <f t="shared" si="18"/>
        <v>0</v>
      </c>
      <c r="O50" s="532">
        <f t="shared" si="18"/>
        <v>1910000</v>
      </c>
      <c r="P50" s="532">
        <f t="shared" si="18"/>
        <v>0</v>
      </c>
      <c r="Q50" s="532">
        <f t="shared" si="18"/>
        <v>1910000</v>
      </c>
      <c r="R50" s="532">
        <f t="shared" si="18"/>
        <v>0</v>
      </c>
      <c r="S50" s="532">
        <f t="shared" si="18"/>
        <v>0</v>
      </c>
      <c r="T50" s="532">
        <f t="shared" si="18"/>
        <v>0</v>
      </c>
      <c r="U50" s="532">
        <f t="shared" si="18"/>
        <v>0</v>
      </c>
      <c r="V50" s="532"/>
      <c r="W50" s="532"/>
      <c r="X50" s="592"/>
    </row>
    <row r="51" spans="1:55" ht="44.25" customHeight="1">
      <c r="A51" s="553" t="s">
        <v>861</v>
      </c>
      <c r="B51" s="716" t="s">
        <v>741</v>
      </c>
      <c r="C51" s="474"/>
      <c r="D51" s="474">
        <v>7879078</v>
      </c>
      <c r="E51" s="529">
        <f t="shared" si="9"/>
        <v>6800000</v>
      </c>
      <c r="F51" s="532"/>
      <c r="G51" s="528">
        <v>6800000</v>
      </c>
      <c r="H51" s="529">
        <f t="shared" si="14"/>
        <v>105376</v>
      </c>
      <c r="I51" s="532">
        <f>J51+K51</f>
        <v>0</v>
      </c>
      <c r="J51" s="532"/>
      <c r="K51" s="532"/>
      <c r="L51" s="697">
        <f t="shared" ref="L51:L59" si="19">M51+N51</f>
        <v>105376</v>
      </c>
      <c r="M51" s="529">
        <v>105376</v>
      </c>
      <c r="N51" s="529"/>
      <c r="O51" s="529">
        <f t="shared" si="10"/>
        <v>680000</v>
      </c>
      <c r="P51" s="532"/>
      <c r="Q51" s="529">
        <f>G51*0.1</f>
        <v>680000</v>
      </c>
      <c r="R51" s="532"/>
      <c r="S51" s="474"/>
      <c r="T51" s="474"/>
      <c r="U51" s="474"/>
      <c r="V51" s="474"/>
      <c r="W51" s="712" t="s">
        <v>884</v>
      </c>
      <c r="X51" s="592"/>
    </row>
    <row r="52" spans="1:55" ht="44.25" customHeight="1">
      <c r="A52" s="553" t="s">
        <v>862</v>
      </c>
      <c r="B52" s="716" t="s">
        <v>743</v>
      </c>
      <c r="C52" s="474"/>
      <c r="D52" s="474">
        <v>7889685</v>
      </c>
      <c r="E52" s="529">
        <f t="shared" si="9"/>
        <v>4000000</v>
      </c>
      <c r="F52" s="529"/>
      <c r="G52" s="528">
        <v>4000000</v>
      </c>
      <c r="H52" s="529">
        <f t="shared" si="14"/>
        <v>127440</v>
      </c>
      <c r="I52" s="529"/>
      <c r="J52" s="529"/>
      <c r="K52" s="532"/>
      <c r="L52" s="697">
        <f t="shared" si="19"/>
        <v>127440</v>
      </c>
      <c r="M52" s="529">
        <v>127440</v>
      </c>
      <c r="N52" s="532"/>
      <c r="O52" s="529">
        <f t="shared" si="10"/>
        <v>400000</v>
      </c>
      <c r="P52" s="529"/>
      <c r="Q52" s="529">
        <f>G52*0.1</f>
        <v>400000</v>
      </c>
      <c r="R52" s="532"/>
      <c r="S52" s="474"/>
      <c r="T52" s="474"/>
      <c r="U52" s="474"/>
      <c r="V52" s="474"/>
      <c r="W52" s="712" t="s">
        <v>901</v>
      </c>
      <c r="X52" s="592"/>
    </row>
    <row r="53" spans="1:55" ht="44.25" customHeight="1">
      <c r="A53" s="553" t="s">
        <v>863</v>
      </c>
      <c r="B53" s="716" t="s">
        <v>744</v>
      </c>
      <c r="C53" s="474"/>
      <c r="D53" s="474">
        <v>7889682</v>
      </c>
      <c r="E53" s="529">
        <f t="shared" si="9"/>
        <v>7500000</v>
      </c>
      <c r="F53" s="532"/>
      <c r="G53" s="528">
        <v>7500000</v>
      </c>
      <c r="H53" s="529">
        <f t="shared" si="14"/>
        <v>24460</v>
      </c>
      <c r="I53" s="529">
        <f>J53+K53</f>
        <v>0</v>
      </c>
      <c r="K53" s="532"/>
      <c r="L53" s="697">
        <f t="shared" si="19"/>
        <v>24460</v>
      </c>
      <c r="M53" s="529">
        <v>24460</v>
      </c>
      <c r="N53" s="529"/>
      <c r="O53" s="529">
        <f t="shared" si="10"/>
        <v>750000</v>
      </c>
      <c r="P53" s="532"/>
      <c r="Q53" s="529">
        <f>G53*0.1</f>
        <v>750000</v>
      </c>
      <c r="R53" s="532"/>
      <c r="S53" s="474"/>
      <c r="T53" s="474"/>
      <c r="U53" s="474"/>
      <c r="V53" s="474"/>
      <c r="W53" s="712" t="s">
        <v>902</v>
      </c>
      <c r="X53" s="592"/>
    </row>
    <row r="54" spans="1:55" ht="44.25" customHeight="1">
      <c r="A54" s="553" t="s">
        <v>864</v>
      </c>
      <c r="B54" s="716" t="s">
        <v>742</v>
      </c>
      <c r="C54" s="474"/>
      <c r="D54" s="474">
        <v>7879077</v>
      </c>
      <c r="E54" s="529">
        <f t="shared" si="9"/>
        <v>800000</v>
      </c>
      <c r="F54" s="532"/>
      <c r="G54" s="528">
        <v>800000</v>
      </c>
      <c r="H54" s="529">
        <f t="shared" si="14"/>
        <v>17341</v>
      </c>
      <c r="I54" s="529">
        <f>J54+K54</f>
        <v>0</v>
      </c>
      <c r="J54" s="532"/>
      <c r="K54" s="532"/>
      <c r="L54" s="697">
        <f t="shared" si="19"/>
        <v>17341</v>
      </c>
      <c r="M54" s="529">
        <v>17341</v>
      </c>
      <c r="N54" s="529"/>
      <c r="O54" s="529">
        <f t="shared" si="10"/>
        <v>80000</v>
      </c>
      <c r="P54" s="532"/>
      <c r="Q54" s="529">
        <f>G54*0.1</f>
        <v>80000</v>
      </c>
      <c r="R54" s="532"/>
      <c r="S54" s="474"/>
      <c r="T54" s="474"/>
      <c r="U54" s="474"/>
      <c r="V54" s="474"/>
      <c r="W54" s="710" t="s">
        <v>903</v>
      </c>
      <c r="X54" s="592"/>
    </row>
    <row r="55" spans="1:55" ht="44.25" customHeight="1">
      <c r="A55" s="554" t="s">
        <v>860</v>
      </c>
      <c r="B55" s="720" t="s">
        <v>844</v>
      </c>
      <c r="C55" s="474"/>
      <c r="D55" s="474"/>
      <c r="E55" s="532">
        <f>SUM(E56:E58)</f>
        <v>9100000</v>
      </c>
      <c r="F55" s="532">
        <f t="shared" ref="F55:V55" si="20">SUM(F56:F58)</f>
        <v>0</v>
      </c>
      <c r="G55" s="532">
        <f t="shared" si="20"/>
        <v>9100000</v>
      </c>
      <c r="H55" s="532">
        <f t="shared" si="20"/>
        <v>75437</v>
      </c>
      <c r="I55" s="532">
        <f t="shared" si="20"/>
        <v>0</v>
      </c>
      <c r="J55" s="532">
        <f t="shared" si="20"/>
        <v>0</v>
      </c>
      <c r="K55" s="532">
        <f t="shared" si="20"/>
        <v>0</v>
      </c>
      <c r="L55" s="532">
        <f t="shared" si="20"/>
        <v>75437</v>
      </c>
      <c r="M55" s="532">
        <f t="shared" si="20"/>
        <v>75437</v>
      </c>
      <c r="N55" s="532">
        <f t="shared" si="20"/>
        <v>0</v>
      </c>
      <c r="O55" s="532">
        <f t="shared" si="20"/>
        <v>910000</v>
      </c>
      <c r="P55" s="532">
        <f t="shared" si="20"/>
        <v>0</v>
      </c>
      <c r="Q55" s="532">
        <f t="shared" si="20"/>
        <v>910000</v>
      </c>
      <c r="R55" s="532">
        <f t="shared" si="20"/>
        <v>0</v>
      </c>
      <c r="S55" s="532">
        <f t="shared" si="20"/>
        <v>0</v>
      </c>
      <c r="T55" s="532">
        <f t="shared" si="20"/>
        <v>0</v>
      </c>
      <c r="U55" s="532">
        <f t="shared" si="20"/>
        <v>0</v>
      </c>
      <c r="V55" s="532">
        <f t="shared" si="20"/>
        <v>0</v>
      </c>
      <c r="W55" s="712"/>
      <c r="X55" s="592"/>
    </row>
    <row r="56" spans="1:55" ht="30">
      <c r="A56" s="553" t="s">
        <v>861</v>
      </c>
      <c r="B56" s="537" t="s">
        <v>781</v>
      </c>
      <c r="C56" s="474" t="s">
        <v>630</v>
      </c>
      <c r="D56" s="474">
        <v>7908500</v>
      </c>
      <c r="E56" s="529">
        <f>F56+G56</f>
        <v>2800000</v>
      </c>
      <c r="F56" s="532"/>
      <c r="G56" s="528">
        <v>2800000</v>
      </c>
      <c r="H56" s="529">
        <f>I56+L56</f>
        <v>0</v>
      </c>
      <c r="I56" s="532"/>
      <c r="J56" s="532"/>
      <c r="K56" s="532"/>
      <c r="L56" s="697">
        <f>M56+N56</f>
        <v>0</v>
      </c>
      <c r="M56" s="529"/>
      <c r="N56" s="529"/>
      <c r="O56" s="529">
        <f>P56+Q56</f>
        <v>280000</v>
      </c>
      <c r="P56" s="532"/>
      <c r="Q56" s="529">
        <f>G56*0.1</f>
        <v>280000</v>
      </c>
      <c r="R56" s="532"/>
      <c r="S56" s="474"/>
      <c r="T56" s="474"/>
      <c r="U56" s="474"/>
      <c r="V56" s="474"/>
      <c r="W56" s="710" t="s">
        <v>904</v>
      </c>
      <c r="X56" s="592"/>
    </row>
    <row r="57" spans="1:55" ht="30">
      <c r="A57" s="553" t="s">
        <v>862</v>
      </c>
      <c r="B57" s="537" t="s">
        <v>782</v>
      </c>
      <c r="C57" s="474" t="s">
        <v>630</v>
      </c>
      <c r="D57" s="474">
        <v>7908501</v>
      </c>
      <c r="E57" s="529">
        <f>F57+G57</f>
        <v>2200000</v>
      </c>
      <c r="F57" s="532"/>
      <c r="G57" s="528">
        <v>2200000</v>
      </c>
      <c r="H57" s="529">
        <f>I57+L57</f>
        <v>75437</v>
      </c>
      <c r="I57" s="532"/>
      <c r="J57" s="532"/>
      <c r="K57" s="532"/>
      <c r="L57" s="697">
        <f>M57+N57</f>
        <v>75437</v>
      </c>
      <c r="M57" s="529">
        <v>75437</v>
      </c>
      <c r="N57" s="529"/>
      <c r="O57" s="529">
        <f>P57+Q57</f>
        <v>220000</v>
      </c>
      <c r="P57" s="532"/>
      <c r="Q57" s="529">
        <f>G57*0.1</f>
        <v>220000</v>
      </c>
      <c r="R57" s="532"/>
      <c r="S57" s="474"/>
      <c r="T57" s="474"/>
      <c r="U57" s="474"/>
      <c r="V57" s="474"/>
      <c r="W57" s="710" t="s">
        <v>904</v>
      </c>
      <c r="X57" s="592"/>
    </row>
    <row r="58" spans="1:55" ht="45">
      <c r="A58" s="553" t="s">
        <v>863</v>
      </c>
      <c r="B58" s="537" t="s">
        <v>783</v>
      </c>
      <c r="C58" s="474" t="s">
        <v>630</v>
      </c>
      <c r="D58" s="474">
        <v>7908502</v>
      </c>
      <c r="E58" s="529">
        <f>F58+G58</f>
        <v>4100000</v>
      </c>
      <c r="F58" s="532"/>
      <c r="G58" s="528">
        <v>4100000</v>
      </c>
      <c r="H58" s="529">
        <f>I58+L58</f>
        <v>0</v>
      </c>
      <c r="I58" s="532"/>
      <c r="J58" s="532"/>
      <c r="K58" s="532"/>
      <c r="L58" s="697">
        <f>M58+N58</f>
        <v>0</v>
      </c>
      <c r="M58" s="529"/>
      <c r="N58" s="529"/>
      <c r="O58" s="529">
        <f>P58+Q58</f>
        <v>410000</v>
      </c>
      <c r="P58" s="532"/>
      <c r="Q58" s="529">
        <f>G58*0.1</f>
        <v>410000</v>
      </c>
      <c r="R58" s="532"/>
      <c r="S58" s="474"/>
      <c r="T58" s="474"/>
      <c r="U58" s="474"/>
      <c r="V58" s="474"/>
      <c r="W58" s="710" t="s">
        <v>905</v>
      </c>
      <c r="X58" s="592"/>
    </row>
    <row r="59" spans="1:55" s="539" customFormat="1" ht="14.25">
      <c r="A59" s="475"/>
      <c r="B59" s="541" t="s">
        <v>722</v>
      </c>
      <c r="C59" s="475"/>
      <c r="D59" s="475"/>
      <c r="E59" s="532">
        <f t="shared" si="9"/>
        <v>0</v>
      </c>
      <c r="F59" s="532"/>
      <c r="G59" s="316"/>
      <c r="H59" s="532"/>
      <c r="I59" s="532"/>
      <c r="J59" s="532"/>
      <c r="K59" s="532"/>
      <c r="L59" s="697">
        <f t="shared" si="19"/>
        <v>0</v>
      </c>
      <c r="M59" s="532"/>
      <c r="N59" s="532"/>
      <c r="O59" s="532"/>
      <c r="P59" s="532"/>
      <c r="Q59" s="529"/>
      <c r="R59" s="532"/>
      <c r="S59" s="475"/>
      <c r="T59" s="475"/>
      <c r="U59" s="475"/>
      <c r="V59" s="475"/>
      <c r="W59" s="475"/>
      <c r="X59" s="592"/>
      <c r="Y59" s="546"/>
      <c r="Z59" s="546"/>
      <c r="AA59" s="546"/>
      <c r="AB59" s="546"/>
      <c r="AC59" s="546"/>
      <c r="AD59" s="546"/>
      <c r="AE59" s="546"/>
      <c r="AF59" s="546"/>
      <c r="AG59" s="546"/>
      <c r="AH59" s="546"/>
      <c r="AI59" s="546"/>
      <c r="AJ59" s="546"/>
      <c r="AK59" s="546"/>
      <c r="AL59" s="546"/>
      <c r="AM59" s="546"/>
      <c r="AN59" s="546"/>
      <c r="AO59" s="546"/>
      <c r="AP59" s="546"/>
      <c r="AQ59" s="546"/>
      <c r="AR59" s="546"/>
      <c r="AS59" s="546"/>
      <c r="AT59" s="546"/>
      <c r="AU59" s="546"/>
      <c r="AV59" s="546"/>
      <c r="AW59" s="546"/>
      <c r="AX59" s="546"/>
      <c r="AY59" s="546"/>
      <c r="AZ59" s="546"/>
      <c r="BA59" s="546"/>
      <c r="BB59" s="546"/>
      <c r="BC59" s="546"/>
    </row>
    <row r="60" spans="1:55" s="539" customFormat="1" ht="57.75" customHeight="1">
      <c r="A60" s="554" t="s">
        <v>865</v>
      </c>
      <c r="B60" s="721" t="s">
        <v>845</v>
      </c>
      <c r="C60" s="475"/>
      <c r="D60" s="475"/>
      <c r="E60" s="532">
        <f>SUM(E61:E63)</f>
        <v>9500000</v>
      </c>
      <c r="F60" s="532">
        <f t="shared" ref="F60:V60" si="21">SUM(F61:F63)</f>
        <v>0</v>
      </c>
      <c r="G60" s="532">
        <f t="shared" si="21"/>
        <v>9500000</v>
      </c>
      <c r="H60" s="532">
        <f t="shared" si="21"/>
        <v>0</v>
      </c>
      <c r="I60" s="532">
        <f t="shared" si="21"/>
        <v>0</v>
      </c>
      <c r="J60" s="532">
        <f t="shared" si="21"/>
        <v>0</v>
      </c>
      <c r="K60" s="532">
        <f t="shared" si="21"/>
        <v>0</v>
      </c>
      <c r="L60" s="532">
        <f t="shared" si="21"/>
        <v>325551</v>
      </c>
      <c r="M60" s="532">
        <f t="shared" si="21"/>
        <v>39510</v>
      </c>
      <c r="N60" s="532">
        <f t="shared" si="21"/>
        <v>286041</v>
      </c>
      <c r="O60" s="532">
        <f t="shared" si="21"/>
        <v>950000</v>
      </c>
      <c r="P60" s="532">
        <f t="shared" si="21"/>
        <v>0</v>
      </c>
      <c r="Q60" s="532">
        <f t="shared" si="21"/>
        <v>950000</v>
      </c>
      <c r="R60" s="532">
        <f t="shared" si="21"/>
        <v>0</v>
      </c>
      <c r="S60" s="532">
        <f t="shared" si="21"/>
        <v>0</v>
      </c>
      <c r="T60" s="532">
        <f t="shared" si="21"/>
        <v>0</v>
      </c>
      <c r="U60" s="532">
        <f t="shared" si="21"/>
        <v>0</v>
      </c>
      <c r="V60" s="532">
        <f t="shared" si="21"/>
        <v>0</v>
      </c>
      <c r="W60" s="475"/>
      <c r="X60" s="592"/>
      <c r="Y60" s="546"/>
      <c r="Z60" s="546"/>
      <c r="AA60" s="546"/>
      <c r="AB60" s="546"/>
      <c r="AC60" s="546"/>
      <c r="AD60" s="546"/>
      <c r="AE60" s="546"/>
      <c r="AF60" s="546"/>
      <c r="AG60" s="546"/>
      <c r="AH60" s="546"/>
      <c r="AI60" s="546"/>
      <c r="AJ60" s="546"/>
      <c r="AK60" s="546"/>
      <c r="AL60" s="546"/>
      <c r="AM60" s="546"/>
      <c r="AN60" s="546"/>
      <c r="AO60" s="546"/>
      <c r="AP60" s="546"/>
      <c r="AQ60" s="546"/>
      <c r="AR60" s="546"/>
      <c r="AS60" s="546"/>
      <c r="AT60" s="546"/>
      <c r="AU60" s="546"/>
      <c r="AV60" s="546"/>
      <c r="AW60" s="546"/>
      <c r="AX60" s="546"/>
      <c r="AY60" s="546"/>
      <c r="AZ60" s="546"/>
      <c r="BA60" s="546"/>
      <c r="BB60" s="546"/>
      <c r="BC60" s="546"/>
    </row>
    <row r="61" spans="1:55" s="539" customFormat="1" ht="30">
      <c r="A61" s="553" t="s">
        <v>866</v>
      </c>
      <c r="B61" s="713" t="s">
        <v>846</v>
      </c>
      <c r="C61" s="475"/>
      <c r="D61" s="474">
        <v>7889788</v>
      </c>
      <c r="E61" s="529">
        <f>F61+G61</f>
        <v>5500000</v>
      </c>
      <c r="F61" s="532"/>
      <c r="G61" s="528">
        <v>5500000</v>
      </c>
      <c r="H61" s="532"/>
      <c r="I61" s="532"/>
      <c r="J61" s="532"/>
      <c r="K61" s="532"/>
      <c r="L61" s="697">
        <f>M61+N61</f>
        <v>225494</v>
      </c>
      <c r="M61" s="529">
        <v>30237</v>
      </c>
      <c r="N61" s="529">
        <v>195257</v>
      </c>
      <c r="O61" s="529">
        <f>P61+Q61</f>
        <v>550000</v>
      </c>
      <c r="P61" s="532"/>
      <c r="Q61" s="529">
        <f>G61*0.1</f>
        <v>550000</v>
      </c>
      <c r="R61" s="532"/>
      <c r="S61" s="475"/>
      <c r="T61" s="475"/>
      <c r="U61" s="475"/>
      <c r="V61" s="475"/>
      <c r="W61" s="474" t="s">
        <v>641</v>
      </c>
      <c r="X61" s="592"/>
      <c r="Y61" s="546"/>
      <c r="Z61" s="546"/>
      <c r="AA61" s="546"/>
      <c r="AB61" s="546"/>
      <c r="AC61" s="546"/>
      <c r="AD61" s="546"/>
      <c r="AE61" s="546"/>
      <c r="AF61" s="546"/>
      <c r="AG61" s="546"/>
      <c r="AH61" s="546"/>
      <c r="AI61" s="546"/>
      <c r="AJ61" s="546"/>
      <c r="AK61" s="546"/>
      <c r="AL61" s="546"/>
      <c r="AM61" s="546"/>
      <c r="AN61" s="546"/>
      <c r="AO61" s="546"/>
      <c r="AP61" s="546"/>
      <c r="AQ61" s="546"/>
      <c r="AR61" s="546"/>
      <c r="AS61" s="546"/>
      <c r="AT61" s="546"/>
      <c r="AU61" s="546"/>
      <c r="AV61" s="546"/>
      <c r="AW61" s="546"/>
      <c r="AX61" s="546"/>
      <c r="AY61" s="546"/>
      <c r="AZ61" s="546"/>
      <c r="BA61" s="546"/>
      <c r="BB61" s="546"/>
      <c r="BC61" s="546"/>
    </row>
    <row r="62" spans="1:55" s="539" customFormat="1" ht="45">
      <c r="A62" s="553" t="s">
        <v>866</v>
      </c>
      <c r="B62" s="713" t="s">
        <v>847</v>
      </c>
      <c r="C62" s="475"/>
      <c r="D62" s="474">
        <v>7932684</v>
      </c>
      <c r="E62" s="529">
        <f>F62+G62</f>
        <v>2000000</v>
      </c>
      <c r="F62" s="532"/>
      <c r="G62" s="528">
        <v>2000000</v>
      </c>
      <c r="H62" s="532"/>
      <c r="I62" s="532"/>
      <c r="J62" s="532"/>
      <c r="K62" s="532"/>
      <c r="L62" s="697">
        <f>M62+N62</f>
        <v>0</v>
      </c>
      <c r="M62" s="529"/>
      <c r="N62" s="529"/>
      <c r="O62" s="529">
        <f>P62+Q62</f>
        <v>200000</v>
      </c>
      <c r="P62" s="532"/>
      <c r="Q62" s="529">
        <f>G62*0.1</f>
        <v>200000</v>
      </c>
      <c r="R62" s="532"/>
      <c r="S62" s="475"/>
      <c r="T62" s="475"/>
      <c r="U62" s="475"/>
      <c r="V62" s="475"/>
      <c r="W62" s="474" t="s">
        <v>906</v>
      </c>
      <c r="X62" s="592"/>
      <c r="Y62" s="546"/>
      <c r="Z62" s="546"/>
      <c r="AA62" s="546"/>
      <c r="AB62" s="546"/>
      <c r="AC62" s="546"/>
      <c r="AD62" s="546"/>
      <c r="AE62" s="546"/>
      <c r="AF62" s="546"/>
      <c r="AG62" s="546"/>
      <c r="AH62" s="546"/>
      <c r="AI62" s="546"/>
      <c r="AJ62" s="546"/>
      <c r="AK62" s="546"/>
      <c r="AL62" s="546"/>
      <c r="AM62" s="546"/>
      <c r="AN62" s="546"/>
      <c r="AO62" s="546"/>
      <c r="AP62" s="546"/>
      <c r="AQ62" s="546"/>
      <c r="AR62" s="546"/>
      <c r="AS62" s="546"/>
      <c r="AT62" s="546"/>
      <c r="AU62" s="546"/>
      <c r="AV62" s="546"/>
      <c r="AW62" s="546"/>
      <c r="AX62" s="546"/>
      <c r="AY62" s="546"/>
      <c r="AZ62" s="546"/>
      <c r="BA62" s="546"/>
      <c r="BB62" s="546"/>
      <c r="BC62" s="546"/>
    </row>
    <row r="63" spans="1:55" s="539" customFormat="1" ht="45">
      <c r="A63" s="553" t="s">
        <v>866</v>
      </c>
      <c r="B63" s="713" t="s">
        <v>848</v>
      </c>
      <c r="D63" s="474">
        <v>7889789</v>
      </c>
      <c r="E63" s="529">
        <f>F63+G63</f>
        <v>2000000</v>
      </c>
      <c r="F63" s="532"/>
      <c r="G63" s="528">
        <v>2000000</v>
      </c>
      <c r="H63" s="532"/>
      <c r="I63" s="532"/>
      <c r="J63" s="532"/>
      <c r="K63" s="532"/>
      <c r="L63" s="697">
        <f>M63+N63</f>
        <v>100057</v>
      </c>
      <c r="M63" s="529">
        <v>9273</v>
      </c>
      <c r="N63" s="529">
        <v>90784</v>
      </c>
      <c r="O63" s="529">
        <f>P63+Q63</f>
        <v>200000</v>
      </c>
      <c r="P63" s="532"/>
      <c r="Q63" s="529">
        <f>G63*0.1</f>
        <v>200000</v>
      </c>
      <c r="R63" s="532"/>
      <c r="S63" s="475"/>
      <c r="T63" s="475"/>
      <c r="U63" s="475"/>
      <c r="V63" s="475"/>
      <c r="W63" s="474" t="s">
        <v>907</v>
      </c>
      <c r="X63" s="592"/>
      <c r="Y63" s="546"/>
      <c r="Z63" s="546"/>
      <c r="AA63" s="546"/>
      <c r="AB63" s="546"/>
      <c r="AC63" s="546"/>
      <c r="AD63" s="546"/>
      <c r="AE63" s="546"/>
      <c r="AF63" s="546"/>
      <c r="AG63" s="546"/>
      <c r="AH63" s="546"/>
      <c r="AI63" s="546"/>
      <c r="AJ63" s="546"/>
      <c r="AK63" s="546"/>
      <c r="AL63" s="546"/>
      <c r="AM63" s="546"/>
      <c r="AN63" s="546"/>
      <c r="AO63" s="546"/>
      <c r="AP63" s="546"/>
      <c r="AQ63" s="546"/>
      <c r="AR63" s="546"/>
      <c r="AS63" s="546"/>
      <c r="AT63" s="546"/>
      <c r="AU63" s="546"/>
      <c r="AV63" s="546"/>
      <c r="AW63" s="546"/>
      <c r="AX63" s="546"/>
      <c r="AY63" s="546"/>
      <c r="AZ63" s="546"/>
      <c r="BA63" s="546"/>
      <c r="BB63" s="546"/>
      <c r="BC63" s="546"/>
    </row>
    <row r="64" spans="1:55">
      <c r="A64" s="475" t="s">
        <v>23</v>
      </c>
      <c r="B64" s="590" t="s">
        <v>717</v>
      </c>
      <c r="C64" s="475"/>
      <c r="D64" s="531"/>
      <c r="E64" s="532">
        <f>E66+E75</f>
        <v>43000000</v>
      </c>
      <c r="F64" s="532">
        <f t="shared" ref="F64:V64" si="22">F66+F75</f>
        <v>0</v>
      </c>
      <c r="G64" s="532">
        <f t="shared" si="22"/>
        <v>43000000</v>
      </c>
      <c r="H64" s="532">
        <f t="shared" si="22"/>
        <v>0</v>
      </c>
      <c r="I64" s="532">
        <f t="shared" si="22"/>
        <v>0</v>
      </c>
      <c r="J64" s="532">
        <f t="shared" si="22"/>
        <v>0</v>
      </c>
      <c r="K64" s="532">
        <f t="shared" si="22"/>
        <v>0</v>
      </c>
      <c r="L64" s="532">
        <f t="shared" si="22"/>
        <v>4766567</v>
      </c>
      <c r="M64" s="532">
        <f t="shared" si="22"/>
        <v>4473379</v>
      </c>
      <c r="N64" s="532">
        <f t="shared" si="22"/>
        <v>293188</v>
      </c>
      <c r="O64" s="532">
        <f t="shared" si="22"/>
        <v>6253200</v>
      </c>
      <c r="P64" s="532">
        <f t="shared" si="22"/>
        <v>0</v>
      </c>
      <c r="Q64" s="532">
        <f t="shared" si="22"/>
        <v>6253200</v>
      </c>
      <c r="R64" s="532">
        <f t="shared" si="22"/>
        <v>0</v>
      </c>
      <c r="S64" s="532">
        <f t="shared" si="22"/>
        <v>0</v>
      </c>
      <c r="T64" s="532">
        <f t="shared" si="22"/>
        <v>0</v>
      </c>
      <c r="U64" s="532">
        <f t="shared" si="22"/>
        <v>0</v>
      </c>
      <c r="V64" s="532">
        <f t="shared" si="22"/>
        <v>0</v>
      </c>
      <c r="W64" s="532">
        <v>0</v>
      </c>
      <c r="X64" s="592"/>
      <c r="Y64" s="592"/>
      <c r="Z64" s="593"/>
    </row>
    <row r="65" spans="1:55" s="539" customFormat="1">
      <c r="A65" s="569"/>
      <c r="B65" s="570" t="s">
        <v>722</v>
      </c>
      <c r="C65" s="569"/>
      <c r="D65" s="569"/>
      <c r="E65" s="569"/>
      <c r="F65" s="569"/>
      <c r="G65" s="569"/>
      <c r="H65" s="569"/>
      <c r="I65" s="533"/>
      <c r="J65" s="569"/>
      <c r="K65" s="569"/>
      <c r="L65" s="706"/>
      <c r="M65" s="569"/>
      <c r="N65" s="569"/>
      <c r="O65" s="734"/>
      <c r="P65" s="572"/>
      <c r="Q65" s="569"/>
      <c r="R65" s="569"/>
      <c r="S65" s="569"/>
      <c r="T65" s="569"/>
      <c r="U65" s="569"/>
      <c r="V65" s="569"/>
      <c r="W65" s="533"/>
      <c r="X65" s="592"/>
      <c r="Y65" s="546"/>
      <c r="Z65" s="546"/>
      <c r="AA65" s="546"/>
      <c r="AB65" s="546"/>
      <c r="AC65" s="546"/>
      <c r="AD65" s="546"/>
      <c r="AE65" s="546"/>
      <c r="AF65" s="546"/>
      <c r="AG65" s="546"/>
      <c r="AH65" s="546"/>
      <c r="AI65" s="546"/>
      <c r="AJ65" s="546"/>
      <c r="AK65" s="546"/>
      <c r="AL65" s="546"/>
      <c r="AM65" s="546"/>
      <c r="AN65" s="546"/>
      <c r="AO65" s="546"/>
      <c r="AP65" s="546"/>
      <c r="AQ65" s="546"/>
      <c r="AR65" s="546"/>
      <c r="AS65" s="546"/>
      <c r="AT65" s="546"/>
      <c r="AU65" s="546"/>
      <c r="AV65" s="546"/>
      <c r="AW65" s="546"/>
      <c r="AX65" s="546"/>
      <c r="AY65" s="546"/>
      <c r="AZ65" s="546"/>
      <c r="BA65" s="546"/>
      <c r="BB65" s="546"/>
      <c r="BC65" s="546"/>
    </row>
    <row r="66" spans="1:55" s="539" customFormat="1">
      <c r="A66" s="574">
        <v>1</v>
      </c>
      <c r="B66" s="582" t="s">
        <v>173</v>
      </c>
      <c r="C66" s="574"/>
      <c r="D66" s="579"/>
      <c r="E66" s="576">
        <f>E68+E71+E74</f>
        <v>28000000</v>
      </c>
      <c r="F66" s="576">
        <f t="shared" ref="F66:V66" si="23">F68+F71+F74</f>
        <v>0</v>
      </c>
      <c r="G66" s="576">
        <f t="shared" si="23"/>
        <v>28000000</v>
      </c>
      <c r="H66" s="576">
        <f t="shared" si="23"/>
        <v>0</v>
      </c>
      <c r="I66" s="316">
        <f t="shared" si="23"/>
        <v>0</v>
      </c>
      <c r="J66" s="576">
        <f t="shared" si="23"/>
        <v>0</v>
      </c>
      <c r="K66" s="576">
        <f t="shared" si="23"/>
        <v>0</v>
      </c>
      <c r="L66" s="316">
        <f t="shared" si="23"/>
        <v>349729</v>
      </c>
      <c r="M66" s="576">
        <f t="shared" si="23"/>
        <v>56541</v>
      </c>
      <c r="N66" s="576">
        <f t="shared" si="23"/>
        <v>293188</v>
      </c>
      <c r="O66" s="316">
        <f t="shared" si="23"/>
        <v>2600000</v>
      </c>
      <c r="P66" s="576">
        <f t="shared" si="23"/>
        <v>0</v>
      </c>
      <c r="Q66" s="576">
        <f t="shared" si="23"/>
        <v>2600000</v>
      </c>
      <c r="R66" s="576">
        <f t="shared" si="23"/>
        <v>0</v>
      </c>
      <c r="S66" s="576">
        <f t="shared" si="23"/>
        <v>0</v>
      </c>
      <c r="T66" s="576">
        <f t="shared" si="23"/>
        <v>0</v>
      </c>
      <c r="U66" s="576">
        <f t="shared" si="23"/>
        <v>0</v>
      </c>
      <c r="V66" s="576">
        <f t="shared" si="23"/>
        <v>0</v>
      </c>
      <c r="W66" s="673"/>
      <c r="X66" s="592"/>
      <c r="Y66" s="546"/>
      <c r="Z66" s="546"/>
      <c r="AA66" s="546"/>
      <c r="AB66" s="546"/>
      <c r="AC66" s="546"/>
      <c r="AD66" s="546"/>
      <c r="AE66" s="546"/>
      <c r="AF66" s="546"/>
      <c r="AG66" s="546"/>
      <c r="AH66" s="546"/>
      <c r="AI66" s="546"/>
      <c r="AJ66" s="546"/>
      <c r="AK66" s="546"/>
      <c r="AL66" s="546"/>
      <c r="AM66" s="546"/>
      <c r="AN66" s="546"/>
      <c r="AO66" s="546"/>
      <c r="AP66" s="546"/>
      <c r="AQ66" s="546"/>
      <c r="AR66" s="546"/>
      <c r="AS66" s="546"/>
      <c r="AT66" s="546"/>
      <c r="AU66" s="546"/>
      <c r="AV66" s="546"/>
      <c r="AW66" s="546"/>
      <c r="AX66" s="546"/>
      <c r="AY66" s="546"/>
      <c r="AZ66" s="546"/>
      <c r="BA66" s="546"/>
      <c r="BB66" s="546"/>
      <c r="BC66" s="546"/>
    </row>
    <row r="67" spans="1:55" s="539" customFormat="1" ht="15.75">
      <c r="A67" s="475"/>
      <c r="B67" s="722" t="s">
        <v>722</v>
      </c>
      <c r="C67" s="475"/>
      <c r="D67" s="531"/>
      <c r="E67" s="316"/>
      <c r="F67" s="316"/>
      <c r="G67" s="316"/>
      <c r="H67" s="316"/>
      <c r="I67" s="316"/>
      <c r="J67" s="316"/>
      <c r="K67" s="316"/>
      <c r="L67" s="700"/>
      <c r="M67" s="689"/>
      <c r="N67" s="689"/>
      <c r="O67" s="316"/>
      <c r="P67" s="316"/>
      <c r="Q67" s="316"/>
      <c r="R67" s="316"/>
      <c r="S67" s="316"/>
      <c r="T67" s="316"/>
      <c r="U67" s="316"/>
      <c r="V67" s="316"/>
      <c r="W67" s="673"/>
      <c r="X67" s="592"/>
      <c r="Y67" s="546"/>
      <c r="Z67" s="546"/>
      <c r="AA67" s="546"/>
      <c r="AB67" s="546"/>
      <c r="AC67" s="546"/>
      <c r="AD67" s="546"/>
      <c r="AE67" s="546"/>
      <c r="AF67" s="546"/>
      <c r="AG67" s="546"/>
      <c r="AH67" s="546"/>
      <c r="AI67" s="546"/>
      <c r="AJ67" s="546"/>
      <c r="AK67" s="546"/>
      <c r="AL67" s="546"/>
      <c r="AM67" s="546"/>
      <c r="AN67" s="546"/>
      <c r="AO67" s="546"/>
      <c r="AP67" s="546"/>
      <c r="AQ67" s="546"/>
      <c r="AR67" s="546"/>
      <c r="AS67" s="546"/>
      <c r="AT67" s="546"/>
      <c r="AU67" s="546"/>
      <c r="AV67" s="546"/>
      <c r="AW67" s="546"/>
      <c r="AX67" s="546"/>
      <c r="AY67" s="546"/>
      <c r="AZ67" s="546"/>
      <c r="BA67" s="546"/>
      <c r="BB67" s="546"/>
      <c r="BC67" s="546"/>
    </row>
    <row r="68" spans="1:55" ht="31.5">
      <c r="A68" s="728" t="s">
        <v>37</v>
      </c>
      <c r="B68" s="723" t="s">
        <v>849</v>
      </c>
      <c r="C68" s="474"/>
      <c r="D68" s="527"/>
      <c r="E68" s="730">
        <f>E70+E69</f>
        <v>8000000</v>
      </c>
      <c r="F68" s="730">
        <f>F70+F69</f>
        <v>0</v>
      </c>
      <c r="G68" s="730">
        <f>G70+G69</f>
        <v>8000000</v>
      </c>
      <c r="H68" s="730">
        <f t="shared" ref="H68:V68" si="24">H70+H69</f>
        <v>0</v>
      </c>
      <c r="I68" s="735">
        <f t="shared" si="24"/>
        <v>0</v>
      </c>
      <c r="J68" s="730">
        <f t="shared" si="24"/>
        <v>0</v>
      </c>
      <c r="K68" s="730">
        <f t="shared" si="24"/>
        <v>0</v>
      </c>
      <c r="L68" s="735">
        <f t="shared" si="24"/>
        <v>349729</v>
      </c>
      <c r="M68" s="730">
        <f t="shared" si="24"/>
        <v>56541</v>
      </c>
      <c r="N68" s="730">
        <f t="shared" si="24"/>
        <v>293188</v>
      </c>
      <c r="O68" s="735">
        <f t="shared" si="24"/>
        <v>800000</v>
      </c>
      <c r="P68" s="730">
        <f t="shared" si="24"/>
        <v>0</v>
      </c>
      <c r="Q68" s="730">
        <f t="shared" si="24"/>
        <v>800000</v>
      </c>
      <c r="R68" s="730">
        <f t="shared" si="24"/>
        <v>0</v>
      </c>
      <c r="S68" s="730">
        <f t="shared" si="24"/>
        <v>0</v>
      </c>
      <c r="T68" s="730">
        <f t="shared" si="24"/>
        <v>0</v>
      </c>
      <c r="U68" s="730">
        <f t="shared" si="24"/>
        <v>0</v>
      </c>
      <c r="V68" s="730">
        <f t="shared" si="24"/>
        <v>0</v>
      </c>
      <c r="W68" s="730"/>
      <c r="X68" s="592"/>
    </row>
    <row r="69" spans="1:55" ht="30">
      <c r="A69" s="729">
        <v>1</v>
      </c>
      <c r="B69" s="678" t="s">
        <v>850</v>
      </c>
      <c r="C69" s="474"/>
      <c r="D69" s="737">
        <v>7989454</v>
      </c>
      <c r="E69" s="529">
        <f>F69+G69</f>
        <v>3000000</v>
      </c>
      <c r="F69" s="529"/>
      <c r="G69" s="529">
        <v>3000000</v>
      </c>
      <c r="H69" s="529"/>
      <c r="I69" s="559">
        <f>J69+K69</f>
        <v>0</v>
      </c>
      <c r="J69" s="529"/>
      <c r="K69" s="529"/>
      <c r="L69" s="697">
        <f>M69+N69</f>
        <v>349729</v>
      </c>
      <c r="M69" s="529">
        <v>56541</v>
      </c>
      <c r="N69" s="529">
        <v>293188</v>
      </c>
      <c r="O69" s="529">
        <f>P69+Q69</f>
        <v>300000</v>
      </c>
      <c r="P69" s="529"/>
      <c r="Q69" s="529">
        <f>G69*0.1</f>
        <v>300000</v>
      </c>
      <c r="R69" s="529"/>
      <c r="S69" s="474"/>
      <c r="T69" s="474"/>
      <c r="U69" s="474"/>
      <c r="V69" s="530"/>
      <c r="W69" s="709" t="s">
        <v>908</v>
      </c>
      <c r="X69" s="592"/>
    </row>
    <row r="70" spans="1:55" ht="31.5">
      <c r="A70" s="729">
        <v>2</v>
      </c>
      <c r="B70" s="724" t="s">
        <v>791</v>
      </c>
      <c r="C70" s="474"/>
      <c r="D70" s="737">
        <v>7966199</v>
      </c>
      <c r="E70" s="529">
        <f t="shared" ref="E70:E83" si="25">F70+G70</f>
        <v>5000000</v>
      </c>
      <c r="F70" s="529"/>
      <c r="G70" s="529">
        <v>5000000</v>
      </c>
      <c r="H70" s="529"/>
      <c r="I70" s="559">
        <f>J70+K70</f>
        <v>0</v>
      </c>
      <c r="J70" s="529"/>
      <c r="K70" s="529"/>
      <c r="L70" s="697">
        <f>M70+N70</f>
        <v>0</v>
      </c>
      <c r="M70" s="529"/>
      <c r="N70" s="529"/>
      <c r="O70" s="529">
        <f>P70+Q70</f>
        <v>500000</v>
      </c>
      <c r="P70" s="529"/>
      <c r="Q70" s="529">
        <f>G70*0.1</f>
        <v>500000</v>
      </c>
      <c r="R70" s="529"/>
      <c r="S70" s="474"/>
      <c r="T70" s="474"/>
      <c r="U70" s="474"/>
      <c r="V70" s="530"/>
      <c r="W70" s="710" t="s">
        <v>909</v>
      </c>
      <c r="X70" s="592"/>
    </row>
    <row r="71" spans="1:55" ht="47.25">
      <c r="A71" s="728" t="s">
        <v>38</v>
      </c>
      <c r="B71" s="725" t="s">
        <v>851</v>
      </c>
      <c r="C71" s="474"/>
      <c r="D71" s="527"/>
      <c r="E71" s="532">
        <f>E72+E73</f>
        <v>5000000</v>
      </c>
      <c r="F71" s="532">
        <f>F72+F73</f>
        <v>0</v>
      </c>
      <c r="G71" s="532">
        <f>G72+G73</f>
        <v>5000000</v>
      </c>
      <c r="H71" s="532">
        <f t="shared" ref="H71:V71" si="26">H72+H73</f>
        <v>0</v>
      </c>
      <c r="I71" s="559">
        <f t="shared" ref="I71:I83" si="27">J71+K71</f>
        <v>0</v>
      </c>
      <c r="J71" s="532">
        <f t="shared" si="26"/>
        <v>0</v>
      </c>
      <c r="K71" s="532">
        <f t="shared" si="26"/>
        <v>0</v>
      </c>
      <c r="L71" s="532">
        <f t="shared" si="26"/>
        <v>0</v>
      </c>
      <c r="M71" s="532">
        <f t="shared" si="26"/>
        <v>0</v>
      </c>
      <c r="N71" s="532">
        <f t="shared" si="26"/>
        <v>0</v>
      </c>
      <c r="O71" s="532">
        <f t="shared" si="26"/>
        <v>300000</v>
      </c>
      <c r="P71" s="532">
        <f t="shared" si="26"/>
        <v>0</v>
      </c>
      <c r="Q71" s="532">
        <f t="shared" si="26"/>
        <v>300000</v>
      </c>
      <c r="R71" s="532">
        <f t="shared" si="26"/>
        <v>0</v>
      </c>
      <c r="S71" s="532">
        <f t="shared" si="26"/>
        <v>0</v>
      </c>
      <c r="T71" s="532">
        <f t="shared" si="26"/>
        <v>0</v>
      </c>
      <c r="U71" s="532">
        <f t="shared" si="26"/>
        <v>0</v>
      </c>
      <c r="V71" s="532">
        <f t="shared" si="26"/>
        <v>0</v>
      </c>
      <c r="W71" s="710"/>
      <c r="X71" s="592"/>
    </row>
    <row r="72" spans="1:55" s="539" customFormat="1" ht="15.75">
      <c r="A72" s="729">
        <v>1</v>
      </c>
      <c r="B72" s="678" t="s">
        <v>852</v>
      </c>
      <c r="C72" s="475"/>
      <c r="D72" s="531"/>
      <c r="E72" s="529">
        <f t="shared" si="25"/>
        <v>2000000</v>
      </c>
      <c r="F72" s="532"/>
      <c r="G72" s="529">
        <v>2000000</v>
      </c>
      <c r="H72" s="316"/>
      <c r="I72" s="559">
        <f t="shared" si="27"/>
        <v>0</v>
      </c>
      <c r="J72" s="316"/>
      <c r="K72" s="316"/>
      <c r="L72" s="700"/>
      <c r="M72" s="689"/>
      <c r="N72" s="689"/>
      <c r="O72" s="532"/>
      <c r="P72" s="316"/>
      <c r="Q72" s="316"/>
      <c r="R72" s="316"/>
      <c r="S72" s="316"/>
      <c r="T72" s="316"/>
      <c r="U72" s="316"/>
      <c r="V72" s="316"/>
      <c r="W72" s="673"/>
      <c r="X72" s="592"/>
      <c r="Y72" s="546"/>
      <c r="Z72" s="546"/>
      <c r="AA72" s="546"/>
      <c r="AB72" s="546"/>
      <c r="AC72" s="546"/>
      <c r="AD72" s="546"/>
      <c r="AE72" s="546"/>
      <c r="AF72" s="546"/>
      <c r="AG72" s="546"/>
      <c r="AH72" s="546"/>
      <c r="AI72" s="546"/>
      <c r="AJ72" s="546"/>
      <c r="AK72" s="546"/>
      <c r="AL72" s="546"/>
      <c r="AM72" s="546"/>
      <c r="AN72" s="546"/>
      <c r="AO72" s="546"/>
      <c r="AP72" s="546"/>
      <c r="AQ72" s="546"/>
      <c r="AR72" s="546"/>
      <c r="AS72" s="546"/>
      <c r="AT72" s="546"/>
      <c r="AU72" s="546"/>
      <c r="AV72" s="546"/>
      <c r="AW72" s="546"/>
      <c r="AX72" s="546"/>
      <c r="AY72" s="546"/>
      <c r="AZ72" s="546"/>
      <c r="BA72" s="546"/>
      <c r="BB72" s="546"/>
      <c r="BC72" s="546"/>
    </row>
    <row r="73" spans="1:55" ht="45">
      <c r="A73" s="729">
        <v>2</v>
      </c>
      <c r="B73" s="678" t="s">
        <v>830</v>
      </c>
      <c r="C73" s="474"/>
      <c r="D73" s="527"/>
      <c r="E73" s="529">
        <f t="shared" si="25"/>
        <v>3000000</v>
      </c>
      <c r="F73" s="529"/>
      <c r="G73" s="529">
        <v>3000000</v>
      </c>
      <c r="H73" s="529"/>
      <c r="I73" s="559">
        <f t="shared" si="27"/>
        <v>0</v>
      </c>
      <c r="J73" s="529"/>
      <c r="K73" s="529"/>
      <c r="L73" s="697">
        <f>M73+N73</f>
        <v>0</v>
      </c>
      <c r="M73" s="595"/>
      <c r="N73" s="595"/>
      <c r="O73" s="529">
        <f>P73+Q73</f>
        <v>300000</v>
      </c>
      <c r="P73" s="529"/>
      <c r="Q73" s="529">
        <f>G73*0.1</f>
        <v>300000</v>
      </c>
      <c r="R73" s="529"/>
      <c r="S73" s="474"/>
      <c r="T73" s="474"/>
      <c r="U73" s="474"/>
      <c r="V73" s="530"/>
      <c r="W73" s="708" t="s">
        <v>910</v>
      </c>
      <c r="X73" s="592"/>
    </row>
    <row r="74" spans="1:55" ht="28.5">
      <c r="A74" s="728" t="s">
        <v>108</v>
      </c>
      <c r="B74" s="726" t="s">
        <v>853</v>
      </c>
      <c r="C74" s="474"/>
      <c r="D74" s="527"/>
      <c r="E74" s="730">
        <f>F74+G74</f>
        <v>15000000</v>
      </c>
      <c r="F74" s="730"/>
      <c r="G74" s="730">
        <v>15000000</v>
      </c>
      <c r="H74" s="529"/>
      <c r="I74" s="559">
        <f t="shared" si="27"/>
        <v>0</v>
      </c>
      <c r="J74" s="529"/>
      <c r="K74" s="746"/>
      <c r="L74" s="697">
        <f>M74+N74</f>
        <v>0</v>
      </c>
      <c r="M74" s="595"/>
      <c r="N74" s="595"/>
      <c r="O74" s="529">
        <f>P74+Q74</f>
        <v>1500000</v>
      </c>
      <c r="P74" s="529"/>
      <c r="Q74" s="529">
        <f>G74*0.1</f>
        <v>1500000</v>
      </c>
      <c r="R74" s="529"/>
      <c r="S74" s="474"/>
      <c r="T74" s="474"/>
      <c r="U74" s="474"/>
      <c r="V74" s="530"/>
      <c r="W74" s="708"/>
      <c r="X74" s="592"/>
    </row>
    <row r="75" spans="1:55" s="539" customFormat="1" ht="15.75">
      <c r="A75" s="728" t="s">
        <v>10</v>
      </c>
      <c r="B75" s="722" t="s">
        <v>187</v>
      </c>
      <c r="C75" s="475"/>
      <c r="D75" s="531"/>
      <c r="E75" s="532">
        <f t="shared" si="25"/>
        <v>15000000</v>
      </c>
      <c r="F75" s="532"/>
      <c r="G75" s="730">
        <f>G77+G80+G82+G83</f>
        <v>15000000</v>
      </c>
      <c r="H75" s="730">
        <f t="shared" ref="H75:V75" si="28">H77+H80+H82+H83</f>
        <v>0</v>
      </c>
      <c r="I75" s="559">
        <f t="shared" si="27"/>
        <v>0</v>
      </c>
      <c r="J75" s="730">
        <f t="shared" si="28"/>
        <v>0</v>
      </c>
      <c r="K75" s="730">
        <f t="shared" si="28"/>
        <v>0</v>
      </c>
      <c r="L75" s="735">
        <f t="shared" si="28"/>
        <v>4416838</v>
      </c>
      <c r="M75" s="730">
        <f t="shared" si="28"/>
        <v>4416838</v>
      </c>
      <c r="N75" s="730">
        <f t="shared" si="28"/>
        <v>0</v>
      </c>
      <c r="O75" s="735">
        <f t="shared" si="28"/>
        <v>3653200</v>
      </c>
      <c r="P75" s="730">
        <f t="shared" si="28"/>
        <v>0</v>
      </c>
      <c r="Q75" s="730">
        <f t="shared" si="28"/>
        <v>3653200</v>
      </c>
      <c r="R75" s="730">
        <f t="shared" si="28"/>
        <v>0</v>
      </c>
      <c r="S75" s="730">
        <f t="shared" si="28"/>
        <v>0</v>
      </c>
      <c r="T75" s="730">
        <f t="shared" si="28"/>
        <v>0</v>
      </c>
      <c r="U75" s="730">
        <f t="shared" si="28"/>
        <v>0</v>
      </c>
      <c r="V75" s="730">
        <f t="shared" si="28"/>
        <v>0</v>
      </c>
      <c r="W75" s="732"/>
      <c r="X75" s="733"/>
      <c r="Y75" s="546"/>
      <c r="Z75" s="546"/>
      <c r="AA75" s="546"/>
      <c r="AB75" s="546"/>
      <c r="AC75" s="546"/>
      <c r="AD75" s="546"/>
      <c r="AE75" s="546"/>
      <c r="AF75" s="546"/>
      <c r="AG75" s="546"/>
      <c r="AH75" s="546"/>
      <c r="AI75" s="546"/>
      <c r="AJ75" s="546"/>
      <c r="AK75" s="546"/>
      <c r="AL75" s="546"/>
      <c r="AM75" s="546"/>
      <c r="AN75" s="546"/>
      <c r="AO75" s="546"/>
      <c r="AP75" s="546"/>
      <c r="AQ75" s="546"/>
      <c r="AR75" s="546"/>
      <c r="AS75" s="546"/>
      <c r="AT75" s="546"/>
      <c r="AU75" s="546"/>
      <c r="AV75" s="546"/>
      <c r="AW75" s="546"/>
      <c r="AX75" s="546"/>
      <c r="AY75" s="546"/>
      <c r="AZ75" s="546"/>
      <c r="BA75" s="546"/>
      <c r="BB75" s="546"/>
      <c r="BC75" s="546"/>
    </row>
    <row r="76" spans="1:55" ht="15.75">
      <c r="A76" s="728"/>
      <c r="B76" s="722" t="s">
        <v>718</v>
      </c>
      <c r="C76" s="474"/>
      <c r="D76" s="527"/>
      <c r="E76" s="529">
        <f t="shared" si="25"/>
        <v>0</v>
      </c>
      <c r="F76" s="529"/>
      <c r="G76" s="730"/>
      <c r="H76" s="529"/>
      <c r="I76" s="559">
        <f t="shared" si="27"/>
        <v>0</v>
      </c>
      <c r="J76" s="529"/>
      <c r="K76" s="529"/>
      <c r="L76" s="697"/>
      <c r="M76" s="595"/>
      <c r="N76" s="595"/>
      <c r="O76" s="529"/>
      <c r="P76" s="529"/>
      <c r="Q76" s="529"/>
      <c r="R76" s="529"/>
      <c r="S76" s="474"/>
      <c r="T76" s="474"/>
      <c r="U76" s="474"/>
      <c r="V76" s="530"/>
      <c r="W76" s="708"/>
      <c r="X76" s="592"/>
    </row>
    <row r="77" spans="1:55" ht="31.5">
      <c r="A77" s="728" t="s">
        <v>39</v>
      </c>
      <c r="B77" s="723" t="s">
        <v>849</v>
      </c>
      <c r="C77" s="474"/>
      <c r="D77" s="527"/>
      <c r="E77" s="532">
        <f t="shared" si="25"/>
        <v>3700000</v>
      </c>
      <c r="F77" s="529"/>
      <c r="G77" s="730">
        <f>G79+G78</f>
        <v>3700000</v>
      </c>
      <c r="H77" s="730">
        <f t="shared" ref="H77:V77" si="29">H79+H78</f>
        <v>0</v>
      </c>
      <c r="I77" s="559">
        <f t="shared" si="27"/>
        <v>0</v>
      </c>
      <c r="J77" s="730">
        <f t="shared" si="29"/>
        <v>0</v>
      </c>
      <c r="K77" s="730">
        <f t="shared" si="29"/>
        <v>0</v>
      </c>
      <c r="L77" s="735">
        <f t="shared" si="29"/>
        <v>636835</v>
      </c>
      <c r="M77" s="730">
        <f t="shared" si="29"/>
        <v>636835</v>
      </c>
      <c r="N77" s="730">
        <f t="shared" si="29"/>
        <v>0</v>
      </c>
      <c r="O77" s="735">
        <f t="shared" si="29"/>
        <v>370000</v>
      </c>
      <c r="P77" s="730">
        <f t="shared" si="29"/>
        <v>0</v>
      </c>
      <c r="Q77" s="730">
        <f t="shared" si="29"/>
        <v>370000</v>
      </c>
      <c r="R77" s="730">
        <f t="shared" si="29"/>
        <v>0</v>
      </c>
      <c r="S77" s="730">
        <f t="shared" si="29"/>
        <v>0</v>
      </c>
      <c r="T77" s="730">
        <f t="shared" si="29"/>
        <v>0</v>
      </c>
      <c r="U77" s="730">
        <f t="shared" si="29"/>
        <v>0</v>
      </c>
      <c r="V77" s="730">
        <f t="shared" si="29"/>
        <v>0</v>
      </c>
      <c r="W77" s="708"/>
      <c r="X77" s="592"/>
    </row>
    <row r="78" spans="1:55" ht="30">
      <c r="A78" s="729">
        <v>1</v>
      </c>
      <c r="B78" s="552" t="s">
        <v>745</v>
      </c>
      <c r="C78" s="474"/>
      <c r="D78" s="736" t="s">
        <v>856</v>
      </c>
      <c r="E78" s="529">
        <f t="shared" si="25"/>
        <v>2500000</v>
      </c>
      <c r="F78" s="529"/>
      <c r="G78" s="731">
        <v>2500000</v>
      </c>
      <c r="H78" s="529"/>
      <c r="I78" s="559">
        <f t="shared" si="27"/>
        <v>0</v>
      </c>
      <c r="J78" s="529">
        <v>0</v>
      </c>
      <c r="K78" s="529"/>
      <c r="L78" s="747">
        <f>M78+N78</f>
        <v>440942</v>
      </c>
      <c r="M78" s="747">
        <v>440942</v>
      </c>
      <c r="N78" s="595"/>
      <c r="O78" s="529">
        <f t="shared" ref="O78:O83" si="30">P78+Q78</f>
        <v>250000</v>
      </c>
      <c r="P78" s="529"/>
      <c r="Q78" s="529">
        <f>G78*0.1</f>
        <v>250000</v>
      </c>
      <c r="R78" s="529"/>
      <c r="S78" s="474"/>
      <c r="T78" s="474"/>
      <c r="U78" s="474"/>
      <c r="V78" s="530"/>
      <c r="W78" s="710" t="s">
        <v>911</v>
      </c>
      <c r="X78" s="592"/>
    </row>
    <row r="79" spans="1:55" s="539" customFormat="1" ht="30">
      <c r="A79" s="729">
        <v>2</v>
      </c>
      <c r="B79" s="678" t="s">
        <v>746</v>
      </c>
      <c r="C79" s="475"/>
      <c r="D79" s="736" t="s">
        <v>857</v>
      </c>
      <c r="E79" s="529">
        <f t="shared" si="25"/>
        <v>1200000</v>
      </c>
      <c r="F79" s="532"/>
      <c r="G79" s="731">
        <v>1200000</v>
      </c>
      <c r="H79" s="316"/>
      <c r="I79" s="559">
        <f t="shared" si="27"/>
        <v>0</v>
      </c>
      <c r="J79" s="529">
        <v>0</v>
      </c>
      <c r="K79" s="316"/>
      <c r="L79" s="747">
        <f>M79+N79</f>
        <v>195893</v>
      </c>
      <c r="M79" s="747">
        <v>195893</v>
      </c>
      <c r="N79" s="316"/>
      <c r="O79" s="529">
        <f t="shared" si="30"/>
        <v>120000</v>
      </c>
      <c r="P79" s="316"/>
      <c r="Q79" s="529">
        <f>G79*0.1</f>
        <v>120000</v>
      </c>
      <c r="R79" s="316"/>
      <c r="S79" s="316"/>
      <c r="T79" s="316"/>
      <c r="U79" s="316"/>
      <c r="V79" s="316"/>
      <c r="W79" s="710" t="s">
        <v>912</v>
      </c>
      <c r="X79" s="592"/>
      <c r="Y79" s="546"/>
      <c r="Z79" s="546"/>
      <c r="AA79" s="546"/>
      <c r="AB79" s="546"/>
      <c r="AC79" s="546"/>
      <c r="AD79" s="546"/>
      <c r="AE79" s="546"/>
      <c r="AF79" s="546"/>
      <c r="AG79" s="546"/>
      <c r="AH79" s="546"/>
      <c r="AI79" s="546"/>
      <c r="AJ79" s="546"/>
      <c r="AK79" s="546"/>
      <c r="AL79" s="546"/>
      <c r="AM79" s="546"/>
      <c r="AN79" s="546"/>
      <c r="AO79" s="546"/>
      <c r="AP79" s="546"/>
      <c r="AQ79" s="546"/>
      <c r="AR79" s="546"/>
      <c r="AS79" s="546"/>
      <c r="AT79" s="546"/>
      <c r="AU79" s="546"/>
      <c r="AV79" s="546"/>
      <c r="AW79" s="546"/>
      <c r="AX79" s="546"/>
      <c r="AY79" s="546"/>
      <c r="AZ79" s="546"/>
      <c r="BA79" s="546"/>
      <c r="BB79" s="546"/>
      <c r="BC79" s="546"/>
    </row>
    <row r="80" spans="1:55" s="539" customFormat="1" ht="15.75">
      <c r="A80" s="728" t="s">
        <v>40</v>
      </c>
      <c r="B80" s="723" t="s">
        <v>854</v>
      </c>
      <c r="C80" s="475"/>
      <c r="D80" s="531"/>
      <c r="E80" s="532">
        <f t="shared" si="25"/>
        <v>1500000</v>
      </c>
      <c r="F80" s="532"/>
      <c r="G80" s="730">
        <f>G81</f>
        <v>1500000</v>
      </c>
      <c r="H80" s="730">
        <f t="shared" ref="H80:V80" si="31">H81</f>
        <v>0</v>
      </c>
      <c r="I80" s="559">
        <f t="shared" si="27"/>
        <v>0</v>
      </c>
      <c r="J80" s="730">
        <f t="shared" si="31"/>
        <v>0</v>
      </c>
      <c r="K80" s="730">
        <f t="shared" si="31"/>
        <v>0</v>
      </c>
      <c r="L80" s="735">
        <f>L82+L81</f>
        <v>780003</v>
      </c>
      <c r="M80" s="730">
        <f t="shared" si="31"/>
        <v>780003</v>
      </c>
      <c r="N80" s="730">
        <f t="shared" si="31"/>
        <v>0</v>
      </c>
      <c r="O80" s="532">
        <f t="shared" si="30"/>
        <v>150000</v>
      </c>
      <c r="P80" s="730">
        <f t="shared" si="31"/>
        <v>0</v>
      </c>
      <c r="Q80" s="730">
        <f t="shared" si="31"/>
        <v>150000</v>
      </c>
      <c r="R80" s="730">
        <f t="shared" si="31"/>
        <v>0</v>
      </c>
      <c r="S80" s="730">
        <f t="shared" si="31"/>
        <v>0</v>
      </c>
      <c r="T80" s="730">
        <f t="shared" si="31"/>
        <v>0</v>
      </c>
      <c r="U80" s="730">
        <f t="shared" si="31"/>
        <v>0</v>
      </c>
      <c r="V80" s="730">
        <f t="shared" si="31"/>
        <v>0</v>
      </c>
      <c r="W80" s="673"/>
      <c r="X80" s="592"/>
      <c r="Y80" s="546"/>
      <c r="Z80" s="546"/>
      <c r="AA80" s="546"/>
      <c r="AB80" s="546"/>
      <c r="AC80" s="546"/>
      <c r="AD80" s="546"/>
      <c r="AE80" s="546"/>
      <c r="AF80" s="546"/>
      <c r="AG80" s="546"/>
      <c r="AH80" s="546"/>
      <c r="AI80" s="546"/>
      <c r="AJ80" s="546"/>
      <c r="AK80" s="546"/>
      <c r="AL80" s="546"/>
      <c r="AM80" s="546"/>
      <c r="AN80" s="546"/>
      <c r="AO80" s="546"/>
      <c r="AP80" s="546"/>
      <c r="AQ80" s="546"/>
      <c r="AR80" s="546"/>
      <c r="AS80" s="546"/>
      <c r="AT80" s="546"/>
      <c r="AU80" s="546"/>
      <c r="AV80" s="546"/>
      <c r="AW80" s="546"/>
      <c r="AX80" s="546"/>
      <c r="AY80" s="546"/>
      <c r="AZ80" s="546"/>
      <c r="BA80" s="546"/>
      <c r="BB80" s="546"/>
      <c r="BC80" s="546"/>
    </row>
    <row r="81" spans="1:55" ht="31.5">
      <c r="A81" s="729">
        <v>1</v>
      </c>
      <c r="B81" s="727" t="s">
        <v>747</v>
      </c>
      <c r="C81" s="474"/>
      <c r="D81" s="527"/>
      <c r="E81" s="747">
        <f t="shared" si="25"/>
        <v>1500000</v>
      </c>
      <c r="F81" s="529"/>
      <c r="G81" s="731">
        <v>1500000</v>
      </c>
      <c r="H81" s="529"/>
      <c r="I81" s="559">
        <f t="shared" si="27"/>
        <v>0</v>
      </c>
      <c r="J81" s="529"/>
      <c r="K81" s="529"/>
      <c r="L81" s="747">
        <f>M81+N81</f>
        <v>780003</v>
      </c>
      <c r="M81" s="747">
        <v>780003</v>
      </c>
      <c r="N81" s="529"/>
      <c r="O81" s="529">
        <f t="shared" si="30"/>
        <v>150000</v>
      </c>
      <c r="P81" s="529"/>
      <c r="Q81" s="529">
        <f>G81*0.1</f>
        <v>150000</v>
      </c>
      <c r="R81" s="529"/>
      <c r="S81" s="474"/>
      <c r="T81" s="474"/>
      <c r="U81" s="474"/>
      <c r="V81" s="530"/>
      <c r="W81" s="710"/>
      <c r="X81" s="592"/>
    </row>
    <row r="82" spans="1:55" ht="40.5" customHeight="1">
      <c r="A82" s="728" t="s">
        <v>41</v>
      </c>
      <c r="B82" s="540" t="s">
        <v>853</v>
      </c>
      <c r="C82" s="474"/>
      <c r="D82" s="527"/>
      <c r="E82" s="532">
        <f t="shared" si="25"/>
        <v>1332000</v>
      </c>
      <c r="F82" s="529"/>
      <c r="G82" s="730">
        <v>1332000</v>
      </c>
      <c r="H82" s="529"/>
      <c r="I82" s="559">
        <f t="shared" si="27"/>
        <v>0</v>
      </c>
      <c r="J82" s="529"/>
      <c r="K82" s="529"/>
      <c r="L82" s="735">
        <f>M82+N82</f>
        <v>0</v>
      </c>
      <c r="M82" s="735"/>
      <c r="N82" s="735">
        <f>N84+N83</f>
        <v>0</v>
      </c>
      <c r="O82" s="532">
        <f t="shared" si="30"/>
        <v>133200</v>
      </c>
      <c r="P82" s="532"/>
      <c r="Q82" s="532">
        <f>G82*0.1</f>
        <v>133200</v>
      </c>
      <c r="R82" s="529"/>
      <c r="S82" s="474"/>
      <c r="T82" s="474"/>
      <c r="U82" s="474"/>
      <c r="V82" s="530"/>
      <c r="W82" s="710"/>
      <c r="X82" s="592"/>
    </row>
    <row r="83" spans="1:55" s="539" customFormat="1" ht="47.25">
      <c r="A83" s="728" t="s">
        <v>45</v>
      </c>
      <c r="B83" s="723" t="s">
        <v>855</v>
      </c>
      <c r="C83" s="475"/>
      <c r="D83" s="531"/>
      <c r="E83" s="532">
        <f t="shared" si="25"/>
        <v>8468000</v>
      </c>
      <c r="F83" s="532"/>
      <c r="G83" s="730">
        <v>8468000</v>
      </c>
      <c r="H83" s="532"/>
      <c r="I83" s="559">
        <f t="shared" si="27"/>
        <v>0</v>
      </c>
      <c r="J83" s="532"/>
      <c r="K83" s="532"/>
      <c r="L83" s="735">
        <f>M83+N83</f>
        <v>3000000</v>
      </c>
      <c r="M83" s="730">
        <v>3000000</v>
      </c>
      <c r="N83" s="532"/>
      <c r="O83" s="532">
        <f t="shared" si="30"/>
        <v>3000000</v>
      </c>
      <c r="P83" s="532"/>
      <c r="Q83" s="532">
        <v>3000000</v>
      </c>
      <c r="R83" s="532"/>
      <c r="S83" s="532"/>
      <c r="T83" s="532"/>
      <c r="U83" s="532"/>
      <c r="V83" s="532"/>
      <c r="W83" s="703"/>
      <c r="X83" s="592"/>
      <c r="Y83" s="546"/>
      <c r="Z83" s="546"/>
      <c r="AA83" s="546"/>
      <c r="AB83" s="546"/>
      <c r="AC83" s="546"/>
      <c r="AD83" s="546"/>
      <c r="AE83" s="546"/>
      <c r="AF83" s="546"/>
      <c r="AG83" s="546"/>
      <c r="AH83" s="546"/>
      <c r="AI83" s="546"/>
      <c r="AJ83" s="546"/>
      <c r="AK83" s="546"/>
      <c r="AL83" s="546"/>
      <c r="AM83" s="546"/>
      <c r="AN83" s="546"/>
      <c r="AO83" s="546"/>
      <c r="AP83" s="546"/>
      <c r="AQ83" s="546"/>
      <c r="AR83" s="546"/>
      <c r="AS83" s="546"/>
      <c r="AT83" s="546"/>
      <c r="AU83" s="546"/>
      <c r="AV83" s="546"/>
      <c r="AW83" s="546"/>
      <c r="AX83" s="546"/>
      <c r="AY83" s="546"/>
      <c r="AZ83" s="546"/>
      <c r="BA83" s="546"/>
      <c r="BB83" s="546"/>
      <c r="BC83" s="546"/>
    </row>
    <row r="84" spans="1:55" ht="15">
      <c r="A84" s="474"/>
      <c r="B84" s="551"/>
      <c r="C84" s="474"/>
      <c r="D84" s="527"/>
      <c r="E84" s="529"/>
      <c r="F84" s="529"/>
      <c r="G84" s="528"/>
      <c r="H84" s="529"/>
      <c r="I84" s="559"/>
      <c r="J84" s="529"/>
      <c r="K84" s="529"/>
      <c r="L84" s="697"/>
      <c r="M84" s="529"/>
      <c r="N84" s="529"/>
      <c r="O84" s="529"/>
      <c r="P84" s="529"/>
      <c r="Q84" s="529"/>
      <c r="R84" s="529"/>
      <c r="S84" s="474"/>
      <c r="T84" s="474"/>
      <c r="U84" s="474"/>
      <c r="V84" s="530"/>
      <c r="W84" s="708"/>
      <c r="X84" s="592"/>
    </row>
    <row r="87" spans="1:55" ht="12.75" customHeight="1">
      <c r="A87" s="546" t="s">
        <v>26</v>
      </c>
      <c r="K87" s="544"/>
      <c r="L87" s="701"/>
      <c r="M87" s="544"/>
      <c r="N87" s="544"/>
      <c r="P87" s="829"/>
      <c r="Q87" s="829"/>
      <c r="R87" s="829"/>
      <c r="S87" s="829"/>
      <c r="T87" s="829"/>
      <c r="U87" s="829"/>
      <c r="V87" s="829"/>
      <c r="W87" s="829"/>
      <c r="X87" s="548"/>
      <c r="Y87" s="548"/>
    </row>
    <row r="88" spans="1:55" ht="12.75" customHeight="1">
      <c r="A88" s="567" t="s">
        <v>778</v>
      </c>
      <c r="B88" s="477"/>
      <c r="K88" s="562"/>
      <c r="L88" s="702"/>
      <c r="M88" s="562"/>
      <c r="N88" s="562"/>
      <c r="P88" s="821"/>
      <c r="Q88" s="821"/>
      <c r="R88" s="821"/>
      <c r="S88" s="821"/>
      <c r="T88" s="821"/>
      <c r="U88" s="821"/>
      <c r="V88" s="821"/>
      <c r="W88" s="821"/>
    </row>
    <row r="93" spans="1:55" ht="13.5">
      <c r="Q93" s="820"/>
      <c r="R93" s="820"/>
      <c r="S93" s="820"/>
      <c r="T93" s="820"/>
      <c r="U93" s="820"/>
      <c r="V93" s="820"/>
      <c r="W93" s="820"/>
      <c r="X93" s="550"/>
      <c r="Y93" s="550"/>
    </row>
    <row r="94" spans="1:55" ht="15.75">
      <c r="A94" s="828"/>
      <c r="B94" s="828"/>
      <c r="C94" s="584"/>
      <c r="E94" s="584"/>
      <c r="F94" s="584"/>
      <c r="G94" s="585"/>
      <c r="H94" s="584"/>
      <c r="I94" s="584"/>
      <c r="J94" s="584"/>
      <c r="K94" s="584"/>
      <c r="L94" s="583"/>
      <c r="M94" s="584"/>
      <c r="N94" s="584"/>
      <c r="O94" s="584"/>
      <c r="P94" s="584"/>
      <c r="Q94" s="584"/>
      <c r="R94" s="584"/>
      <c r="S94" s="584"/>
      <c r="T94" s="584"/>
      <c r="U94" s="584"/>
      <c r="V94" s="584"/>
      <c r="W94" s="584"/>
    </row>
    <row r="95" spans="1:55" ht="15.75">
      <c r="A95" s="584"/>
      <c r="B95" s="583"/>
      <c r="C95" s="584"/>
      <c r="E95" s="584"/>
      <c r="F95" s="584"/>
      <c r="G95" s="585"/>
      <c r="H95" s="584"/>
      <c r="I95" s="584"/>
      <c r="J95" s="584"/>
      <c r="K95" s="584"/>
      <c r="L95" s="583"/>
      <c r="M95" s="584"/>
      <c r="N95" s="584"/>
      <c r="O95" s="584"/>
      <c r="P95" s="584"/>
      <c r="Q95" s="584"/>
      <c r="R95" s="584"/>
      <c r="S95" s="584"/>
      <c r="T95" s="584"/>
      <c r="U95" s="584"/>
      <c r="V95" s="584"/>
      <c r="W95" s="584"/>
    </row>
    <row r="96" spans="1:55" ht="15.75">
      <c r="A96" s="584"/>
      <c r="B96" s="583"/>
      <c r="C96" s="584"/>
      <c r="E96" s="584"/>
      <c r="F96" s="584"/>
      <c r="G96" s="585"/>
      <c r="H96" s="584"/>
      <c r="I96" s="584"/>
      <c r="J96" s="584"/>
      <c r="K96" s="584"/>
      <c r="L96" s="583"/>
      <c r="M96" s="584"/>
      <c r="N96" s="584"/>
      <c r="O96" s="584"/>
      <c r="P96" s="584"/>
      <c r="Q96" s="584"/>
      <c r="R96" s="584"/>
      <c r="S96" s="584"/>
      <c r="T96" s="584"/>
      <c r="U96" s="584"/>
      <c r="V96" s="584"/>
      <c r="W96" s="584"/>
    </row>
    <row r="97" spans="1:23" ht="15.75">
      <c r="A97" s="584"/>
      <c r="B97" s="583"/>
      <c r="C97" s="584"/>
      <c r="E97" s="584"/>
      <c r="F97" s="584"/>
      <c r="G97" s="585"/>
      <c r="H97" s="584"/>
      <c r="I97" s="584"/>
      <c r="J97" s="584"/>
      <c r="K97" s="584"/>
      <c r="L97" s="583"/>
      <c r="M97" s="584"/>
      <c r="N97" s="584"/>
      <c r="O97" s="584"/>
      <c r="P97" s="584"/>
      <c r="Q97" s="584"/>
      <c r="R97" s="584"/>
      <c r="S97" s="584"/>
      <c r="T97" s="584"/>
      <c r="U97" s="584"/>
      <c r="V97" s="584"/>
      <c r="W97" s="584"/>
    </row>
    <row r="98" spans="1:23" ht="15.75">
      <c r="A98" s="584"/>
      <c r="B98" s="583"/>
      <c r="C98" s="584"/>
      <c r="E98" s="584"/>
      <c r="F98" s="584"/>
      <c r="G98" s="585"/>
      <c r="H98" s="584"/>
      <c r="I98" s="584"/>
      <c r="J98" s="584"/>
      <c r="K98" s="584"/>
      <c r="L98" s="583"/>
      <c r="M98" s="584"/>
      <c r="N98" s="584"/>
      <c r="O98" s="584"/>
      <c r="P98" s="584"/>
      <c r="Q98" s="584"/>
      <c r="R98" s="584"/>
      <c r="S98" s="584"/>
      <c r="T98" s="584"/>
      <c r="U98" s="584"/>
      <c r="V98" s="584"/>
      <c r="W98" s="584"/>
    </row>
    <row r="99" spans="1:23" ht="15.75">
      <c r="A99" s="584"/>
      <c r="B99" s="583"/>
      <c r="C99" s="584"/>
      <c r="E99" s="584"/>
      <c r="F99" s="584"/>
      <c r="G99" s="585"/>
      <c r="H99" s="584"/>
      <c r="I99" s="584"/>
      <c r="J99" s="584"/>
      <c r="K99" s="584"/>
      <c r="L99" s="583"/>
      <c r="M99" s="584"/>
      <c r="N99" s="584"/>
      <c r="O99" s="584"/>
      <c r="P99" s="584"/>
      <c r="Q99" s="584"/>
      <c r="R99" s="584"/>
      <c r="S99" s="584"/>
      <c r="T99" s="584"/>
      <c r="U99" s="584"/>
      <c r="V99" s="584"/>
      <c r="W99" s="584"/>
    </row>
    <row r="100" spans="1:23" ht="15.75">
      <c r="A100" s="584"/>
      <c r="B100" s="583"/>
      <c r="C100" s="584"/>
      <c r="E100" s="584"/>
      <c r="F100" s="584"/>
      <c r="G100" s="585"/>
      <c r="H100" s="584"/>
      <c r="I100" s="584"/>
      <c r="J100" s="584"/>
      <c r="K100" s="584"/>
      <c r="L100" s="583"/>
      <c r="M100" s="584"/>
      <c r="N100" s="584"/>
      <c r="O100" s="584"/>
      <c r="P100" s="584"/>
      <c r="Q100" s="584"/>
      <c r="R100" s="584"/>
      <c r="S100" s="584"/>
      <c r="T100" s="584"/>
      <c r="U100" s="584"/>
      <c r="V100" s="584"/>
      <c r="W100" s="584"/>
    </row>
    <row r="101" spans="1:23" ht="15.75">
      <c r="A101" s="584"/>
      <c r="B101" s="583"/>
      <c r="C101" s="584"/>
      <c r="E101" s="584"/>
      <c r="F101" s="584"/>
      <c r="G101" s="585"/>
      <c r="H101" s="584"/>
      <c r="I101" s="584"/>
      <c r="J101" s="584"/>
      <c r="K101" s="584"/>
      <c r="L101" s="583"/>
      <c r="M101" s="584"/>
      <c r="N101" s="584"/>
      <c r="O101" s="584"/>
      <c r="P101" s="584"/>
      <c r="Q101" s="584"/>
      <c r="R101" s="584"/>
      <c r="S101" s="584"/>
      <c r="T101" s="584"/>
      <c r="U101" s="584"/>
      <c r="V101" s="584"/>
      <c r="W101" s="584"/>
    </row>
    <row r="102" spans="1:23" ht="15.75">
      <c r="A102" s="584"/>
      <c r="B102" s="583"/>
      <c r="C102" s="584"/>
      <c r="E102" s="584"/>
      <c r="F102" s="584"/>
      <c r="G102" s="585"/>
      <c r="H102" s="584"/>
      <c r="I102" s="584"/>
      <c r="J102" s="584"/>
      <c r="K102" s="584"/>
      <c r="L102" s="583"/>
      <c r="M102" s="584"/>
      <c r="N102" s="584"/>
      <c r="O102" s="584"/>
      <c r="P102" s="584"/>
      <c r="Q102" s="584"/>
      <c r="R102" s="584"/>
      <c r="S102" s="584"/>
      <c r="T102" s="584"/>
      <c r="U102" s="584"/>
      <c r="V102" s="584"/>
      <c r="W102" s="584"/>
    </row>
    <row r="103" spans="1:23" ht="15.75">
      <c r="A103" s="584"/>
      <c r="B103" s="583"/>
      <c r="C103" s="584"/>
      <c r="E103" s="584"/>
      <c r="F103" s="584"/>
      <c r="G103" s="585"/>
      <c r="H103" s="584"/>
      <c r="I103" s="584"/>
      <c r="J103" s="584"/>
      <c r="K103" s="584"/>
      <c r="L103" s="583"/>
      <c r="M103" s="584"/>
      <c r="N103" s="584"/>
      <c r="O103" s="584"/>
      <c r="P103" s="584"/>
      <c r="Q103" s="584"/>
      <c r="R103" s="584"/>
      <c r="S103" s="584"/>
      <c r="T103" s="584"/>
      <c r="U103" s="584"/>
      <c r="V103" s="584"/>
      <c r="W103" s="584"/>
    </row>
    <row r="104" spans="1:23" ht="15.75">
      <c r="A104" s="584"/>
      <c r="B104" s="583"/>
      <c r="C104" s="584"/>
      <c r="E104" s="584"/>
      <c r="F104" s="584"/>
      <c r="G104" s="585"/>
      <c r="H104" s="584"/>
      <c r="I104" s="584"/>
      <c r="J104" s="584"/>
      <c r="K104" s="584"/>
      <c r="L104" s="583"/>
      <c r="M104" s="584"/>
      <c r="N104" s="584"/>
      <c r="O104" s="584"/>
      <c r="P104" s="584"/>
      <c r="Q104" s="584"/>
      <c r="R104" s="584"/>
      <c r="S104" s="584"/>
      <c r="T104" s="584"/>
      <c r="U104" s="584"/>
      <c r="V104" s="584"/>
      <c r="W104" s="584"/>
    </row>
    <row r="105" spans="1:23" ht="15.75">
      <c r="A105" s="584"/>
      <c r="B105" s="583"/>
      <c r="C105" s="584"/>
      <c r="E105" s="584"/>
      <c r="F105" s="584"/>
      <c r="G105" s="585"/>
      <c r="H105" s="584"/>
      <c r="I105" s="584"/>
      <c r="J105" s="584"/>
      <c r="K105" s="584"/>
      <c r="L105" s="583"/>
      <c r="M105" s="584"/>
      <c r="N105" s="584"/>
      <c r="O105" s="584"/>
      <c r="P105" s="584"/>
      <c r="Q105" s="584"/>
      <c r="R105" s="584"/>
      <c r="S105" s="584"/>
      <c r="T105" s="584"/>
      <c r="U105" s="584"/>
      <c r="V105" s="584"/>
      <c r="W105" s="584"/>
    </row>
    <row r="106" spans="1:23" ht="15.75">
      <c r="A106" s="584"/>
      <c r="B106" s="583"/>
      <c r="C106" s="584"/>
      <c r="E106" s="584"/>
      <c r="F106" s="584"/>
      <c r="G106" s="585"/>
      <c r="H106" s="584"/>
      <c r="I106" s="584"/>
      <c r="J106" s="584"/>
      <c r="K106" s="584"/>
      <c r="L106" s="583"/>
      <c r="M106" s="584"/>
      <c r="N106" s="584"/>
      <c r="O106" s="584"/>
      <c r="P106" s="584"/>
      <c r="Q106" s="584"/>
      <c r="R106" s="584"/>
      <c r="S106" s="584"/>
      <c r="T106" s="584"/>
      <c r="U106" s="584"/>
      <c r="V106" s="584"/>
      <c r="W106" s="584"/>
    </row>
    <row r="107" spans="1:23" ht="15.75">
      <c r="A107" s="584"/>
      <c r="B107" s="583"/>
      <c r="C107" s="584"/>
      <c r="E107" s="584"/>
      <c r="F107" s="584"/>
      <c r="G107" s="585"/>
      <c r="H107" s="584"/>
      <c r="I107" s="584"/>
      <c r="J107" s="584"/>
      <c r="K107" s="584"/>
      <c r="L107" s="583"/>
      <c r="M107" s="584"/>
      <c r="N107" s="584"/>
      <c r="O107" s="584"/>
      <c r="P107" s="584"/>
      <c r="Q107" s="584"/>
      <c r="R107" s="584"/>
      <c r="S107" s="584"/>
      <c r="T107" s="584"/>
      <c r="U107" s="584"/>
      <c r="V107" s="584"/>
      <c r="W107" s="584"/>
    </row>
    <row r="108" spans="1:23" ht="15.75">
      <c r="A108" s="584"/>
      <c r="B108" s="583"/>
      <c r="C108" s="584"/>
      <c r="E108" s="584"/>
      <c r="F108" s="584"/>
      <c r="G108" s="585"/>
      <c r="H108" s="584"/>
      <c r="I108" s="584"/>
      <c r="J108" s="584"/>
      <c r="K108" s="584"/>
      <c r="L108" s="583"/>
      <c r="M108" s="584"/>
      <c r="N108" s="584"/>
      <c r="O108" s="584"/>
      <c r="P108" s="584"/>
      <c r="Q108" s="584"/>
      <c r="R108" s="584"/>
      <c r="S108" s="584"/>
      <c r="T108" s="584"/>
      <c r="U108" s="584"/>
      <c r="V108" s="584"/>
      <c r="W108" s="584"/>
    </row>
    <row r="109" spans="1:23" ht="15.75">
      <c r="A109" s="584"/>
      <c r="B109" s="583"/>
      <c r="C109" s="584"/>
      <c r="E109" s="584"/>
      <c r="F109" s="584"/>
      <c r="G109" s="585"/>
      <c r="H109" s="584"/>
      <c r="I109" s="584"/>
      <c r="J109" s="584"/>
      <c r="K109" s="584"/>
      <c r="L109" s="583"/>
      <c r="M109" s="584"/>
      <c r="N109" s="584"/>
      <c r="O109" s="584"/>
      <c r="P109" s="584"/>
      <c r="Q109" s="584"/>
      <c r="R109" s="584"/>
      <c r="S109" s="584"/>
      <c r="T109" s="584"/>
      <c r="U109" s="584"/>
      <c r="V109" s="584"/>
      <c r="W109" s="584"/>
    </row>
    <row r="110" spans="1:23" ht="15.75">
      <c r="A110" s="584"/>
      <c r="B110" s="583"/>
      <c r="C110" s="584"/>
      <c r="E110" s="584"/>
      <c r="F110" s="584"/>
      <c r="G110" s="585"/>
      <c r="H110" s="584"/>
      <c r="I110" s="584"/>
      <c r="J110" s="584"/>
      <c r="K110" s="584"/>
      <c r="L110" s="583"/>
      <c r="M110" s="584"/>
      <c r="N110" s="584"/>
      <c r="O110" s="584"/>
      <c r="P110" s="584"/>
      <c r="Q110" s="584"/>
      <c r="R110" s="584"/>
      <c r="S110" s="584"/>
      <c r="T110" s="584"/>
      <c r="U110" s="584"/>
      <c r="V110" s="584"/>
      <c r="W110" s="584"/>
    </row>
    <row r="111" spans="1:23" ht="15.75">
      <c r="A111" s="584"/>
      <c r="B111" s="583"/>
      <c r="C111" s="584"/>
      <c r="E111" s="584"/>
      <c r="F111" s="584"/>
      <c r="G111" s="585"/>
      <c r="H111" s="584"/>
      <c r="I111" s="584"/>
      <c r="J111" s="584"/>
      <c r="K111" s="584"/>
      <c r="L111" s="583"/>
      <c r="M111" s="584"/>
      <c r="N111" s="584"/>
      <c r="O111" s="584"/>
      <c r="P111" s="584"/>
      <c r="Q111" s="584"/>
      <c r="R111" s="584"/>
      <c r="S111" s="584"/>
      <c r="T111" s="584"/>
      <c r="U111" s="584"/>
      <c r="V111" s="584"/>
      <c r="W111" s="584"/>
    </row>
    <row r="112" spans="1:23" ht="15.75">
      <c r="A112" s="584"/>
      <c r="B112" s="583"/>
      <c r="C112" s="584"/>
      <c r="E112" s="584"/>
      <c r="F112" s="584"/>
      <c r="G112" s="585"/>
      <c r="H112" s="584"/>
      <c r="I112" s="584"/>
      <c r="J112" s="584"/>
      <c r="K112" s="584"/>
      <c r="L112" s="583"/>
      <c r="M112" s="584"/>
      <c r="N112" s="584"/>
      <c r="O112" s="584"/>
      <c r="P112" s="584"/>
      <c r="Q112" s="584"/>
      <c r="R112" s="584"/>
      <c r="S112" s="584"/>
      <c r="T112" s="584"/>
      <c r="U112" s="584"/>
      <c r="V112" s="584"/>
      <c r="W112" s="584"/>
    </row>
    <row r="113" spans="1:23" ht="15.75">
      <c r="A113" s="584"/>
      <c r="B113" s="583"/>
      <c r="C113" s="584"/>
      <c r="E113" s="584"/>
      <c r="F113" s="584"/>
      <c r="G113" s="585"/>
      <c r="H113" s="584"/>
      <c r="I113" s="584"/>
      <c r="J113" s="584"/>
      <c r="K113" s="584"/>
      <c r="L113" s="583"/>
      <c r="M113" s="584"/>
      <c r="N113" s="584"/>
      <c r="O113" s="584"/>
      <c r="P113" s="584"/>
      <c r="Q113" s="584"/>
      <c r="R113" s="584"/>
      <c r="S113" s="584"/>
      <c r="T113" s="584"/>
      <c r="U113" s="584"/>
      <c r="V113" s="584"/>
      <c r="W113" s="584"/>
    </row>
    <row r="114" spans="1:23" ht="15.75">
      <c r="A114" s="584"/>
      <c r="B114" s="583"/>
      <c r="C114" s="584"/>
      <c r="E114" s="584"/>
      <c r="F114" s="584"/>
      <c r="G114" s="585"/>
      <c r="H114" s="584"/>
      <c r="I114" s="584"/>
      <c r="J114" s="584"/>
      <c r="K114" s="584"/>
      <c r="L114" s="583"/>
      <c r="M114" s="584"/>
      <c r="N114" s="584"/>
      <c r="O114" s="584"/>
      <c r="P114" s="584"/>
      <c r="Q114" s="584"/>
      <c r="R114" s="584"/>
      <c r="S114" s="584"/>
      <c r="T114" s="584"/>
      <c r="U114" s="584"/>
      <c r="V114" s="584"/>
      <c r="W114" s="584"/>
    </row>
    <row r="115" spans="1:23" ht="15.75">
      <c r="A115" s="584"/>
      <c r="B115" s="583"/>
      <c r="C115" s="584"/>
      <c r="E115" s="584"/>
      <c r="F115" s="584"/>
      <c r="G115" s="585"/>
      <c r="H115" s="584"/>
      <c r="I115" s="584"/>
      <c r="J115" s="584"/>
      <c r="K115" s="584"/>
      <c r="L115" s="583"/>
      <c r="M115" s="584"/>
      <c r="N115" s="584"/>
      <c r="O115" s="584"/>
      <c r="P115" s="584"/>
      <c r="Q115" s="584"/>
      <c r="R115" s="584"/>
      <c r="S115" s="584"/>
      <c r="T115" s="584"/>
      <c r="U115" s="584"/>
      <c r="V115" s="584"/>
      <c r="W115" s="584"/>
    </row>
    <row r="116" spans="1:23" ht="15.75">
      <c r="A116" s="584"/>
      <c r="B116" s="583"/>
      <c r="C116" s="584"/>
      <c r="E116" s="584"/>
      <c r="F116" s="584"/>
      <c r="G116" s="585"/>
      <c r="H116" s="584"/>
      <c r="I116" s="584"/>
      <c r="J116" s="584"/>
      <c r="K116" s="584"/>
      <c r="L116" s="583"/>
      <c r="M116" s="584"/>
      <c r="N116" s="584"/>
      <c r="O116" s="584"/>
      <c r="P116" s="584"/>
      <c r="Q116" s="584"/>
      <c r="R116" s="584"/>
      <c r="S116" s="584"/>
      <c r="T116" s="584"/>
      <c r="U116" s="584"/>
      <c r="V116" s="584"/>
      <c r="W116" s="584"/>
    </row>
    <row r="117" spans="1:23" ht="15.75">
      <c r="A117" s="584"/>
      <c r="B117" s="583"/>
      <c r="C117" s="584"/>
      <c r="E117" s="584"/>
      <c r="F117" s="584"/>
      <c r="G117" s="585"/>
      <c r="H117" s="584"/>
      <c r="I117" s="584"/>
      <c r="J117" s="584"/>
      <c r="K117" s="584"/>
      <c r="L117" s="583"/>
      <c r="M117" s="584"/>
      <c r="N117" s="584"/>
      <c r="O117" s="584"/>
      <c r="P117" s="584"/>
      <c r="Q117" s="584"/>
      <c r="R117" s="584"/>
      <c r="S117" s="584"/>
      <c r="T117" s="584"/>
      <c r="U117" s="584"/>
      <c r="V117" s="584"/>
      <c r="W117" s="584"/>
    </row>
    <row r="118" spans="1:23" ht="15.75">
      <c r="A118" s="584"/>
      <c r="B118" s="583"/>
      <c r="C118" s="584"/>
      <c r="E118" s="584"/>
      <c r="F118" s="584"/>
      <c r="G118" s="585"/>
      <c r="H118" s="584"/>
      <c r="I118" s="584"/>
      <c r="J118" s="584"/>
      <c r="K118" s="584"/>
      <c r="L118" s="583"/>
      <c r="M118" s="584"/>
      <c r="N118" s="584"/>
      <c r="O118" s="584"/>
      <c r="P118" s="584"/>
      <c r="Q118" s="584"/>
      <c r="R118" s="584"/>
      <c r="S118" s="584"/>
      <c r="T118" s="584"/>
      <c r="U118" s="584"/>
      <c r="V118" s="584"/>
      <c r="W118" s="584"/>
    </row>
    <row r="119" spans="1:23" ht="15.75">
      <c r="A119" s="584"/>
      <c r="B119" s="583"/>
      <c r="C119" s="584"/>
      <c r="E119" s="584"/>
      <c r="F119" s="584"/>
      <c r="G119" s="585"/>
      <c r="H119" s="584"/>
      <c r="I119" s="584"/>
      <c r="J119" s="584"/>
      <c r="K119" s="584"/>
      <c r="L119" s="583"/>
      <c r="M119" s="584"/>
      <c r="N119" s="584"/>
      <c r="O119" s="584"/>
      <c r="P119" s="584"/>
      <c r="Q119" s="584"/>
      <c r="R119" s="584"/>
      <c r="S119" s="584"/>
      <c r="T119" s="584"/>
      <c r="U119" s="584"/>
      <c r="V119" s="584"/>
      <c r="W119" s="584"/>
    </row>
    <row r="120" spans="1:23" ht="15.75">
      <c r="A120" s="584"/>
      <c r="B120" s="583"/>
      <c r="C120" s="584"/>
      <c r="E120" s="584"/>
      <c r="F120" s="584"/>
      <c r="G120" s="585"/>
      <c r="H120" s="584"/>
      <c r="I120" s="584"/>
      <c r="J120" s="584"/>
      <c r="K120" s="584"/>
      <c r="L120" s="583"/>
      <c r="M120" s="584"/>
      <c r="N120" s="584"/>
      <c r="O120" s="584"/>
      <c r="P120" s="584"/>
      <c r="Q120" s="584"/>
      <c r="R120" s="584"/>
      <c r="S120" s="584"/>
      <c r="T120" s="584"/>
      <c r="U120" s="584"/>
      <c r="V120" s="584"/>
      <c r="W120" s="584"/>
    </row>
    <row r="121" spans="1:23" ht="15.75">
      <c r="A121" s="584"/>
      <c r="B121" s="583"/>
      <c r="C121" s="584"/>
      <c r="E121" s="584"/>
      <c r="F121" s="584"/>
      <c r="G121" s="585"/>
      <c r="H121" s="584"/>
      <c r="I121" s="584"/>
      <c r="J121" s="584"/>
      <c r="K121" s="584"/>
      <c r="L121" s="583"/>
      <c r="M121" s="584"/>
      <c r="N121" s="584"/>
      <c r="O121" s="584"/>
      <c r="P121" s="584"/>
      <c r="Q121" s="584"/>
      <c r="R121" s="584"/>
      <c r="S121" s="584"/>
      <c r="T121" s="584"/>
      <c r="U121" s="584"/>
      <c r="V121" s="584"/>
      <c r="W121" s="584"/>
    </row>
    <row r="122" spans="1:23" ht="15.75">
      <c r="A122" s="584"/>
      <c r="B122" s="583"/>
      <c r="C122" s="584"/>
      <c r="E122" s="584"/>
      <c r="F122" s="584"/>
      <c r="G122" s="585"/>
      <c r="H122" s="584"/>
      <c r="I122" s="584"/>
      <c r="J122" s="584"/>
      <c r="K122" s="584"/>
      <c r="L122" s="583"/>
      <c r="M122" s="584"/>
      <c r="N122" s="584"/>
      <c r="O122" s="584"/>
      <c r="P122" s="584"/>
      <c r="Q122" s="584"/>
      <c r="R122" s="584"/>
      <c r="S122" s="584"/>
      <c r="T122" s="584"/>
      <c r="U122" s="584"/>
      <c r="V122" s="584"/>
      <c r="W122" s="584"/>
    </row>
    <row r="123" spans="1:23" ht="15.75">
      <c r="A123" s="584"/>
      <c r="B123" s="583"/>
      <c r="C123" s="584"/>
      <c r="E123" s="584"/>
      <c r="F123" s="584"/>
      <c r="G123" s="585"/>
      <c r="H123" s="584"/>
      <c r="I123" s="584"/>
      <c r="J123" s="584"/>
      <c r="K123" s="584"/>
      <c r="L123" s="583"/>
      <c r="M123" s="584"/>
      <c r="N123" s="584"/>
      <c r="O123" s="584"/>
      <c r="P123" s="584"/>
      <c r="Q123" s="584"/>
      <c r="R123" s="584"/>
      <c r="S123" s="584"/>
      <c r="T123" s="584"/>
      <c r="U123" s="584"/>
      <c r="V123" s="584"/>
      <c r="W123" s="584"/>
    </row>
    <row r="124" spans="1:23" ht="15.75">
      <c r="A124" s="584"/>
      <c r="B124" s="583"/>
      <c r="C124" s="584"/>
      <c r="E124" s="584"/>
      <c r="F124" s="584"/>
      <c r="G124" s="585"/>
      <c r="H124" s="584"/>
      <c r="I124" s="584"/>
      <c r="J124" s="584"/>
      <c r="K124" s="584"/>
      <c r="L124" s="583"/>
      <c r="M124" s="584"/>
      <c r="N124" s="584"/>
      <c r="O124" s="584"/>
      <c r="P124" s="584"/>
      <c r="Q124" s="584"/>
      <c r="R124" s="584"/>
      <c r="S124" s="584"/>
      <c r="T124" s="584"/>
      <c r="U124" s="584"/>
      <c r="V124" s="584"/>
      <c r="W124" s="584"/>
    </row>
    <row r="125" spans="1:23" ht="15.75">
      <c r="A125" s="584"/>
      <c r="B125" s="583"/>
      <c r="C125" s="584"/>
      <c r="E125" s="584"/>
      <c r="F125" s="584"/>
      <c r="G125" s="585"/>
      <c r="H125" s="584"/>
      <c r="I125" s="584"/>
      <c r="J125" s="584"/>
      <c r="K125" s="584"/>
      <c r="L125" s="583"/>
      <c r="M125" s="584"/>
      <c r="N125" s="584"/>
      <c r="O125" s="584"/>
      <c r="P125" s="584"/>
      <c r="Q125" s="584"/>
      <c r="R125" s="584"/>
      <c r="S125" s="584"/>
      <c r="T125" s="584"/>
      <c r="U125" s="584"/>
      <c r="V125" s="584"/>
      <c r="W125" s="584"/>
    </row>
    <row r="126" spans="1:23" ht="15.75">
      <c r="A126" s="584"/>
      <c r="B126" s="583"/>
      <c r="C126" s="584"/>
      <c r="E126" s="584"/>
      <c r="F126" s="584"/>
      <c r="G126" s="585"/>
      <c r="H126" s="584"/>
      <c r="I126" s="584"/>
      <c r="J126" s="584"/>
      <c r="K126" s="584"/>
      <c r="L126" s="583"/>
      <c r="M126" s="584"/>
      <c r="N126" s="584"/>
      <c r="O126" s="584"/>
      <c r="P126" s="584"/>
      <c r="Q126" s="584"/>
      <c r="R126" s="584"/>
      <c r="S126" s="584"/>
      <c r="T126" s="584"/>
      <c r="U126" s="584"/>
      <c r="V126" s="584"/>
      <c r="W126" s="584"/>
    </row>
    <row r="127" spans="1:23" ht="15.75">
      <c r="A127" s="584"/>
      <c r="B127" s="583"/>
      <c r="C127" s="584"/>
      <c r="E127" s="584"/>
      <c r="F127" s="584"/>
      <c r="G127" s="585"/>
      <c r="H127" s="584"/>
      <c r="I127" s="584"/>
      <c r="J127" s="584"/>
      <c r="K127" s="584"/>
      <c r="L127" s="583"/>
      <c r="M127" s="584"/>
      <c r="N127" s="584"/>
      <c r="O127" s="584"/>
      <c r="P127" s="584"/>
      <c r="Q127" s="584"/>
      <c r="R127" s="584"/>
      <c r="S127" s="584"/>
      <c r="T127" s="584"/>
      <c r="U127" s="584"/>
      <c r="V127" s="584"/>
      <c r="W127" s="584"/>
    </row>
    <row r="128" spans="1:23" ht="15.75">
      <c r="A128" s="584"/>
      <c r="B128" s="583"/>
      <c r="C128" s="584"/>
      <c r="E128" s="584"/>
      <c r="F128" s="584"/>
      <c r="G128" s="585"/>
      <c r="H128" s="584"/>
      <c r="I128" s="584"/>
      <c r="J128" s="584"/>
      <c r="K128" s="584"/>
      <c r="L128" s="583"/>
      <c r="M128" s="584"/>
      <c r="N128" s="584"/>
      <c r="O128" s="584"/>
      <c r="P128" s="584"/>
      <c r="Q128" s="584"/>
      <c r="R128" s="584"/>
      <c r="S128" s="584"/>
      <c r="T128" s="584"/>
      <c r="U128" s="584"/>
      <c r="V128" s="584"/>
      <c r="W128" s="584"/>
    </row>
    <row r="129" spans="1:23" ht="15.75">
      <c r="A129" s="584"/>
      <c r="B129" s="583"/>
      <c r="C129" s="584"/>
      <c r="E129" s="584"/>
      <c r="F129" s="584"/>
      <c r="G129" s="585"/>
      <c r="H129" s="584"/>
      <c r="I129" s="584"/>
      <c r="J129" s="584"/>
      <c r="K129" s="584"/>
      <c r="L129" s="583"/>
      <c r="M129" s="584"/>
      <c r="N129" s="584"/>
      <c r="O129" s="584"/>
      <c r="P129" s="584"/>
      <c r="Q129" s="584"/>
      <c r="R129" s="584"/>
      <c r="S129" s="584"/>
      <c r="T129" s="584"/>
      <c r="U129" s="584"/>
      <c r="V129" s="584"/>
      <c r="W129" s="584"/>
    </row>
    <row r="130" spans="1:23" ht="15.75">
      <c r="A130" s="584"/>
      <c r="B130" s="583"/>
      <c r="C130" s="584"/>
      <c r="E130" s="584"/>
      <c r="F130" s="584"/>
      <c r="G130" s="585"/>
      <c r="H130" s="584"/>
      <c r="I130" s="584"/>
      <c r="J130" s="584"/>
      <c r="K130" s="584"/>
      <c r="L130" s="583"/>
      <c r="M130" s="584"/>
      <c r="N130" s="584"/>
      <c r="O130" s="584"/>
      <c r="P130" s="584"/>
      <c r="Q130" s="584"/>
      <c r="R130" s="584"/>
      <c r="S130" s="584"/>
      <c r="T130" s="584"/>
      <c r="U130" s="584"/>
      <c r="V130" s="584"/>
      <c r="W130" s="584"/>
    </row>
    <row r="131" spans="1:23" ht="15.75">
      <c r="A131" s="584"/>
      <c r="B131" s="583"/>
      <c r="C131" s="584"/>
      <c r="E131" s="584"/>
      <c r="F131" s="584"/>
      <c r="G131" s="585"/>
      <c r="H131" s="584"/>
      <c r="I131" s="584"/>
      <c r="J131" s="584"/>
      <c r="K131" s="584"/>
      <c r="L131" s="583"/>
      <c r="M131" s="584"/>
      <c r="N131" s="584"/>
      <c r="O131" s="584"/>
      <c r="P131" s="584"/>
      <c r="Q131" s="584"/>
      <c r="R131" s="584"/>
      <c r="S131" s="584"/>
      <c r="T131" s="584"/>
      <c r="U131" s="584"/>
      <c r="V131" s="584"/>
      <c r="W131" s="584"/>
    </row>
    <row r="132" spans="1:23" ht="15.75">
      <c r="A132" s="584"/>
      <c r="B132" s="583"/>
      <c r="C132" s="584"/>
      <c r="E132" s="584"/>
      <c r="F132" s="584"/>
      <c r="G132" s="585"/>
      <c r="H132" s="584"/>
      <c r="I132" s="584"/>
      <c r="J132" s="584"/>
      <c r="K132" s="584"/>
      <c r="L132" s="583"/>
      <c r="M132" s="584"/>
      <c r="N132" s="584"/>
      <c r="O132" s="584"/>
      <c r="P132" s="584"/>
      <c r="Q132" s="584"/>
      <c r="R132" s="584"/>
      <c r="S132" s="584"/>
      <c r="T132" s="584"/>
      <c r="U132" s="584"/>
      <c r="V132" s="584"/>
      <c r="W132" s="584"/>
    </row>
    <row r="133" spans="1:23" ht="15.75">
      <c r="A133" s="584"/>
      <c r="B133" s="583"/>
      <c r="C133" s="584"/>
      <c r="E133" s="584"/>
      <c r="F133" s="584"/>
      <c r="G133" s="585"/>
      <c r="H133" s="584"/>
      <c r="I133" s="584"/>
      <c r="J133" s="584"/>
      <c r="K133" s="584"/>
      <c r="L133" s="583"/>
      <c r="M133" s="584"/>
      <c r="N133" s="584"/>
      <c r="O133" s="584"/>
      <c r="P133" s="584"/>
      <c r="Q133" s="584"/>
      <c r="R133" s="584"/>
      <c r="S133" s="584"/>
      <c r="T133" s="584"/>
      <c r="U133" s="584"/>
      <c r="V133" s="584"/>
      <c r="W133" s="584"/>
    </row>
    <row r="134" spans="1:23" ht="15.75">
      <c r="A134" s="584"/>
      <c r="B134" s="583"/>
      <c r="C134" s="584"/>
      <c r="E134" s="584"/>
      <c r="F134" s="584"/>
      <c r="G134" s="585"/>
      <c r="H134" s="584"/>
      <c r="I134" s="584"/>
      <c r="J134" s="584"/>
      <c r="K134" s="584"/>
      <c r="L134" s="583"/>
      <c r="M134" s="584"/>
      <c r="N134" s="584"/>
      <c r="O134" s="584"/>
      <c r="P134" s="584"/>
      <c r="Q134" s="584"/>
      <c r="R134" s="584"/>
      <c r="S134" s="584"/>
      <c r="T134" s="584"/>
      <c r="U134" s="584"/>
      <c r="V134" s="584"/>
      <c r="W134" s="584"/>
    </row>
    <row r="135" spans="1:23" ht="15.75">
      <c r="A135" s="584"/>
      <c r="B135" s="583"/>
      <c r="C135" s="584"/>
      <c r="E135" s="584"/>
      <c r="F135" s="584"/>
      <c r="G135" s="585"/>
      <c r="H135" s="584"/>
      <c r="I135" s="584"/>
      <c r="J135" s="584"/>
      <c r="K135" s="584"/>
      <c r="L135" s="583"/>
      <c r="M135" s="584"/>
      <c r="N135" s="584"/>
      <c r="O135" s="584"/>
      <c r="P135" s="584"/>
      <c r="Q135" s="584"/>
      <c r="R135" s="584"/>
      <c r="S135" s="584"/>
      <c r="T135" s="584"/>
      <c r="U135" s="584"/>
      <c r="V135" s="584"/>
      <c r="W135" s="584"/>
    </row>
    <row r="136" spans="1:23" ht="15.75">
      <c r="A136" s="584"/>
      <c r="B136" s="583"/>
      <c r="C136" s="584"/>
      <c r="E136" s="584"/>
      <c r="F136" s="584"/>
      <c r="G136" s="585"/>
      <c r="H136" s="584"/>
      <c r="I136" s="584"/>
      <c r="J136" s="584"/>
      <c r="K136" s="584"/>
      <c r="L136" s="583"/>
      <c r="M136" s="584"/>
      <c r="N136" s="584"/>
      <c r="O136" s="584"/>
      <c r="P136" s="584"/>
      <c r="Q136" s="584"/>
      <c r="R136" s="584"/>
      <c r="S136" s="584"/>
      <c r="T136" s="584"/>
      <c r="U136" s="584"/>
      <c r="V136" s="584"/>
      <c r="W136" s="584"/>
    </row>
    <row r="137" spans="1:23" ht="15.75">
      <c r="A137" s="584"/>
      <c r="B137" s="583"/>
      <c r="C137" s="584"/>
      <c r="E137" s="584"/>
      <c r="F137" s="584"/>
      <c r="G137" s="585"/>
      <c r="H137" s="584"/>
      <c r="I137" s="584"/>
      <c r="J137" s="584"/>
      <c r="K137" s="584"/>
      <c r="L137" s="583"/>
      <c r="M137" s="584"/>
      <c r="N137" s="584"/>
      <c r="O137" s="584"/>
      <c r="P137" s="584"/>
      <c r="Q137" s="584"/>
      <c r="R137" s="584"/>
      <c r="S137" s="584"/>
      <c r="T137" s="584"/>
      <c r="U137" s="584"/>
      <c r="V137" s="584"/>
      <c r="W137" s="584"/>
    </row>
    <row r="138" spans="1:23" ht="15.75">
      <c r="A138" s="584"/>
      <c r="B138" s="583"/>
      <c r="C138" s="584"/>
      <c r="E138" s="584"/>
      <c r="F138" s="584"/>
      <c r="G138" s="585"/>
      <c r="H138" s="584"/>
      <c r="I138" s="584"/>
      <c r="J138" s="584"/>
      <c r="K138" s="584"/>
      <c r="L138" s="583"/>
      <c r="M138" s="584"/>
      <c r="N138" s="584"/>
      <c r="O138" s="584"/>
      <c r="P138" s="584"/>
      <c r="Q138" s="584"/>
      <c r="R138" s="584"/>
      <c r="S138" s="584"/>
      <c r="T138" s="584"/>
      <c r="U138" s="584"/>
      <c r="V138" s="584"/>
      <c r="W138" s="584"/>
    </row>
    <row r="139" spans="1:23" ht="15.75">
      <c r="A139" s="584"/>
      <c r="B139" s="583"/>
      <c r="C139" s="584"/>
      <c r="E139" s="584"/>
      <c r="F139" s="584"/>
      <c r="G139" s="585"/>
      <c r="H139" s="584"/>
      <c r="I139" s="584"/>
      <c r="J139" s="584"/>
      <c r="K139" s="584"/>
      <c r="L139" s="583"/>
      <c r="M139" s="584"/>
      <c r="N139" s="584"/>
      <c r="O139" s="584"/>
      <c r="P139" s="584"/>
      <c r="Q139" s="584"/>
      <c r="R139" s="584"/>
      <c r="S139" s="584"/>
      <c r="T139" s="584"/>
      <c r="U139" s="584"/>
      <c r="V139" s="584"/>
      <c r="W139" s="584"/>
    </row>
    <row r="140" spans="1:23" ht="15.75">
      <c r="A140" s="584"/>
      <c r="B140" s="583"/>
      <c r="C140" s="584"/>
      <c r="E140" s="584"/>
      <c r="F140" s="584"/>
      <c r="G140" s="585"/>
      <c r="H140" s="584"/>
      <c r="I140" s="584"/>
      <c r="J140" s="584"/>
      <c r="K140" s="584"/>
      <c r="L140" s="583"/>
      <c r="M140" s="584"/>
      <c r="N140" s="584"/>
      <c r="O140" s="584"/>
      <c r="P140" s="584"/>
      <c r="Q140" s="584"/>
      <c r="R140" s="584"/>
      <c r="S140" s="584"/>
      <c r="T140" s="584"/>
      <c r="U140" s="584"/>
      <c r="V140" s="584"/>
      <c r="W140" s="584"/>
    </row>
    <row r="141" spans="1:23" ht="15.75">
      <c r="A141" s="584"/>
      <c r="B141" s="583"/>
      <c r="C141" s="584"/>
      <c r="E141" s="584"/>
      <c r="F141" s="584"/>
      <c r="G141" s="585"/>
      <c r="H141" s="584"/>
      <c r="I141" s="584"/>
      <c r="J141" s="584"/>
      <c r="K141" s="584"/>
      <c r="L141" s="583"/>
      <c r="M141" s="584"/>
      <c r="N141" s="584"/>
      <c r="O141" s="584"/>
      <c r="P141" s="584"/>
      <c r="Q141" s="584"/>
      <c r="R141" s="584"/>
      <c r="S141" s="584"/>
      <c r="T141" s="584"/>
      <c r="U141" s="584"/>
      <c r="V141" s="584"/>
      <c r="W141" s="584"/>
    </row>
    <row r="142" spans="1:23" ht="15.75">
      <c r="A142" s="584"/>
      <c r="B142" s="583"/>
      <c r="C142" s="584"/>
      <c r="E142" s="584"/>
      <c r="F142" s="584"/>
      <c r="G142" s="585"/>
      <c r="H142" s="584"/>
      <c r="I142" s="584"/>
      <c r="J142" s="584"/>
      <c r="K142" s="584"/>
      <c r="L142" s="583"/>
      <c r="M142" s="584"/>
      <c r="N142" s="584"/>
      <c r="O142" s="584"/>
      <c r="P142" s="584"/>
      <c r="Q142" s="584"/>
      <c r="R142" s="584"/>
      <c r="S142" s="584"/>
      <c r="T142" s="584"/>
      <c r="U142" s="584"/>
      <c r="V142" s="584"/>
      <c r="W142" s="584"/>
    </row>
    <row r="143" spans="1:23" ht="15.75">
      <c r="A143" s="584"/>
      <c r="B143" s="583"/>
      <c r="C143" s="584"/>
      <c r="E143" s="584"/>
      <c r="F143" s="584"/>
      <c r="G143" s="585"/>
      <c r="H143" s="584"/>
      <c r="I143" s="584"/>
      <c r="J143" s="584"/>
      <c r="K143" s="584"/>
      <c r="L143" s="583"/>
      <c r="M143" s="584"/>
      <c r="N143" s="584"/>
      <c r="O143" s="584"/>
      <c r="P143" s="584"/>
      <c r="Q143" s="584"/>
      <c r="R143" s="584"/>
      <c r="S143" s="584"/>
      <c r="T143" s="584"/>
      <c r="U143" s="584"/>
      <c r="V143" s="584"/>
      <c r="W143" s="584"/>
    </row>
    <row r="144" spans="1:23" ht="15.75">
      <c r="A144" s="584"/>
      <c r="B144" s="583"/>
      <c r="C144" s="584"/>
      <c r="E144" s="584"/>
      <c r="F144" s="584"/>
      <c r="G144" s="585"/>
      <c r="H144" s="584"/>
      <c r="I144" s="584"/>
      <c r="J144" s="584"/>
      <c r="K144" s="584"/>
      <c r="L144" s="583"/>
      <c r="M144" s="584"/>
      <c r="N144" s="584"/>
      <c r="O144" s="584"/>
      <c r="P144" s="584"/>
      <c r="Q144" s="584"/>
      <c r="R144" s="584"/>
      <c r="S144" s="584"/>
      <c r="T144" s="584"/>
      <c r="U144" s="584"/>
      <c r="V144" s="584"/>
      <c r="W144" s="584"/>
    </row>
    <row r="145" spans="1:23" ht="15.75">
      <c r="A145" s="584"/>
      <c r="B145" s="583"/>
      <c r="C145" s="584"/>
      <c r="E145" s="584"/>
      <c r="F145" s="584"/>
      <c r="G145" s="585"/>
      <c r="H145" s="584"/>
      <c r="I145" s="584"/>
      <c r="J145" s="584"/>
      <c r="K145" s="584"/>
      <c r="L145" s="583"/>
      <c r="M145" s="584"/>
      <c r="N145" s="584"/>
      <c r="O145" s="584"/>
      <c r="P145" s="584"/>
      <c r="Q145" s="584"/>
      <c r="R145" s="584"/>
      <c r="S145" s="584"/>
      <c r="T145" s="584"/>
      <c r="U145" s="584"/>
      <c r="V145" s="584"/>
      <c r="W145" s="584"/>
    </row>
    <row r="146" spans="1:23" ht="15.75">
      <c r="A146" s="584"/>
      <c r="B146" s="583"/>
      <c r="C146" s="584"/>
      <c r="E146" s="584"/>
      <c r="F146" s="584"/>
      <c r="G146" s="585"/>
      <c r="H146" s="584"/>
      <c r="I146" s="584"/>
      <c r="J146" s="584"/>
      <c r="K146" s="584"/>
      <c r="L146" s="583"/>
      <c r="M146" s="584"/>
      <c r="N146" s="584"/>
      <c r="O146" s="584"/>
      <c r="P146" s="584"/>
      <c r="Q146" s="584"/>
      <c r="R146" s="584"/>
      <c r="S146" s="584"/>
      <c r="T146" s="584"/>
      <c r="U146" s="584"/>
      <c r="V146" s="584"/>
      <c r="W146" s="584"/>
    </row>
    <row r="147" spans="1:23" ht="15.75">
      <c r="A147" s="584"/>
      <c r="B147" s="583"/>
      <c r="C147" s="584"/>
      <c r="E147" s="584"/>
      <c r="F147" s="584"/>
      <c r="G147" s="585"/>
      <c r="H147" s="584"/>
      <c r="I147" s="584"/>
      <c r="J147" s="584"/>
      <c r="K147" s="584"/>
      <c r="L147" s="583"/>
      <c r="M147" s="584"/>
      <c r="N147" s="584"/>
      <c r="O147" s="584"/>
      <c r="P147" s="584"/>
      <c r="Q147" s="584"/>
      <c r="R147" s="584"/>
      <c r="S147" s="584"/>
      <c r="T147" s="584"/>
      <c r="U147" s="584"/>
      <c r="V147" s="584"/>
      <c r="W147" s="584"/>
    </row>
    <row r="148" spans="1:23" ht="15.75">
      <c r="A148" s="584"/>
      <c r="B148" s="583"/>
      <c r="C148" s="584"/>
      <c r="E148" s="584"/>
      <c r="F148" s="584"/>
      <c r="G148" s="585"/>
      <c r="H148" s="584"/>
      <c r="I148" s="584"/>
      <c r="J148" s="584"/>
      <c r="K148" s="584"/>
      <c r="L148" s="583"/>
      <c r="M148" s="584"/>
      <c r="N148" s="584"/>
      <c r="O148" s="584"/>
      <c r="P148" s="584"/>
      <c r="Q148" s="584"/>
      <c r="R148" s="584"/>
      <c r="S148" s="584"/>
      <c r="T148" s="584"/>
      <c r="U148" s="584"/>
      <c r="V148" s="584"/>
      <c r="W148" s="584"/>
    </row>
    <row r="149" spans="1:23" ht="15.75">
      <c r="A149" s="584"/>
      <c r="B149" s="583"/>
      <c r="C149" s="584"/>
      <c r="E149" s="584"/>
      <c r="F149" s="584"/>
      <c r="G149" s="585"/>
      <c r="H149" s="584"/>
      <c r="I149" s="584"/>
      <c r="J149" s="584"/>
      <c r="K149" s="584"/>
      <c r="L149" s="583"/>
      <c r="M149" s="584"/>
      <c r="N149" s="584"/>
      <c r="O149" s="584"/>
      <c r="P149" s="584"/>
      <c r="Q149" s="584"/>
      <c r="R149" s="584"/>
      <c r="S149" s="584"/>
      <c r="T149" s="584"/>
      <c r="U149" s="584"/>
      <c r="V149" s="584"/>
      <c r="W149" s="584"/>
    </row>
    <row r="150" spans="1:23" ht="15.75">
      <c r="A150" s="584"/>
      <c r="B150" s="583"/>
      <c r="C150" s="584"/>
      <c r="E150" s="584"/>
      <c r="F150" s="584"/>
      <c r="G150" s="585"/>
      <c r="H150" s="584"/>
      <c r="I150" s="584"/>
      <c r="J150" s="584"/>
      <c r="K150" s="584"/>
      <c r="L150" s="583"/>
      <c r="M150" s="584"/>
      <c r="N150" s="584"/>
      <c r="O150" s="584"/>
      <c r="P150" s="584"/>
      <c r="Q150" s="584"/>
      <c r="R150" s="584"/>
      <c r="S150" s="584"/>
      <c r="T150" s="584"/>
      <c r="U150" s="584"/>
      <c r="V150" s="584"/>
      <c r="W150" s="584"/>
    </row>
    <row r="151" spans="1:23" ht="15.75">
      <c r="A151" s="584"/>
      <c r="B151" s="583"/>
      <c r="C151" s="584"/>
      <c r="E151" s="584"/>
      <c r="F151" s="584"/>
      <c r="G151" s="585"/>
      <c r="H151" s="584"/>
      <c r="I151" s="584"/>
      <c r="J151" s="584"/>
      <c r="K151" s="584"/>
      <c r="L151" s="583"/>
      <c r="M151" s="584"/>
      <c r="N151" s="584"/>
      <c r="O151" s="584"/>
      <c r="P151" s="584"/>
      <c r="Q151" s="584"/>
      <c r="R151" s="584"/>
      <c r="S151" s="584"/>
      <c r="T151" s="584"/>
      <c r="U151" s="584"/>
      <c r="V151" s="584"/>
      <c r="W151" s="584"/>
    </row>
    <row r="152" spans="1:23" ht="15.75">
      <c r="A152" s="584"/>
      <c r="B152" s="583"/>
      <c r="C152" s="584"/>
      <c r="E152" s="584"/>
      <c r="F152" s="584"/>
      <c r="G152" s="585"/>
      <c r="H152" s="584"/>
      <c r="I152" s="584"/>
      <c r="J152" s="584"/>
      <c r="K152" s="584"/>
      <c r="L152" s="583"/>
      <c r="M152" s="584"/>
      <c r="N152" s="584"/>
      <c r="O152" s="584"/>
      <c r="P152" s="584"/>
      <c r="Q152" s="584"/>
      <c r="R152" s="584"/>
      <c r="S152" s="584"/>
      <c r="T152" s="584"/>
      <c r="U152" s="584"/>
      <c r="V152" s="584"/>
      <c r="W152" s="584"/>
    </row>
    <row r="153" spans="1:23" ht="15.75">
      <c r="A153" s="584"/>
      <c r="B153" s="583"/>
      <c r="C153" s="584"/>
      <c r="E153" s="584"/>
      <c r="F153" s="584"/>
      <c r="G153" s="585"/>
      <c r="H153" s="584"/>
      <c r="I153" s="584"/>
      <c r="J153" s="584"/>
      <c r="K153" s="584"/>
      <c r="L153" s="583"/>
      <c r="M153" s="584"/>
      <c r="N153" s="584"/>
      <c r="O153" s="584"/>
      <c r="P153" s="584"/>
      <c r="Q153" s="584"/>
      <c r="R153" s="584"/>
      <c r="S153" s="584"/>
      <c r="T153" s="584"/>
      <c r="U153" s="584"/>
      <c r="V153" s="584"/>
      <c r="W153" s="584"/>
    </row>
    <row r="154" spans="1:23" ht="15.75">
      <c r="A154" s="584"/>
      <c r="B154" s="583"/>
      <c r="C154" s="584"/>
      <c r="E154" s="584"/>
      <c r="F154" s="584"/>
      <c r="G154" s="585"/>
      <c r="H154" s="584"/>
      <c r="I154" s="584"/>
      <c r="J154" s="584"/>
      <c r="K154" s="584"/>
      <c r="L154" s="583"/>
      <c r="M154" s="584"/>
      <c r="N154" s="584"/>
      <c r="O154" s="584"/>
      <c r="P154" s="584"/>
      <c r="Q154" s="584"/>
      <c r="R154" s="584"/>
      <c r="S154" s="584"/>
      <c r="T154" s="584"/>
      <c r="U154" s="584"/>
      <c r="V154" s="584"/>
      <c r="W154" s="584"/>
    </row>
    <row r="155" spans="1:23" ht="15.75">
      <c r="A155" s="584"/>
      <c r="B155" s="583"/>
      <c r="C155" s="584"/>
      <c r="E155" s="584"/>
      <c r="F155" s="584"/>
      <c r="G155" s="585"/>
      <c r="H155" s="584"/>
      <c r="I155" s="584"/>
      <c r="J155" s="584"/>
      <c r="K155" s="584"/>
      <c r="L155" s="583"/>
      <c r="M155" s="584"/>
      <c r="N155" s="584"/>
      <c r="O155" s="584"/>
      <c r="P155" s="584"/>
      <c r="Q155" s="584"/>
      <c r="R155" s="584"/>
      <c r="S155" s="584"/>
      <c r="T155" s="584"/>
      <c r="U155" s="584"/>
      <c r="V155" s="584"/>
      <c r="W155" s="584"/>
    </row>
    <row r="156" spans="1:23" ht="15.75">
      <c r="A156" s="584"/>
      <c r="B156" s="583"/>
      <c r="C156" s="584"/>
      <c r="E156" s="584"/>
      <c r="F156" s="584"/>
      <c r="G156" s="585"/>
      <c r="H156" s="584"/>
      <c r="I156" s="584"/>
      <c r="J156" s="584"/>
      <c r="K156" s="584"/>
      <c r="L156" s="583"/>
      <c r="M156" s="584"/>
      <c r="N156" s="584"/>
      <c r="O156" s="584"/>
      <c r="P156" s="584"/>
      <c r="Q156" s="584"/>
      <c r="R156" s="584"/>
      <c r="S156" s="584"/>
      <c r="T156" s="584"/>
      <c r="U156" s="584"/>
      <c r="V156" s="584"/>
      <c r="W156" s="584"/>
    </row>
    <row r="157" spans="1:23" ht="15.75">
      <c r="A157" s="584"/>
      <c r="B157" s="583"/>
      <c r="C157" s="584"/>
      <c r="E157" s="584"/>
      <c r="F157" s="584"/>
      <c r="G157" s="585"/>
      <c r="H157" s="584"/>
      <c r="I157" s="584"/>
      <c r="J157" s="584"/>
      <c r="K157" s="584"/>
      <c r="L157" s="583"/>
      <c r="M157" s="584"/>
      <c r="N157" s="584"/>
      <c r="O157" s="584"/>
      <c r="P157" s="584"/>
      <c r="Q157" s="584"/>
      <c r="R157" s="584"/>
      <c r="S157" s="584"/>
      <c r="T157" s="584"/>
      <c r="U157" s="584"/>
      <c r="V157" s="584"/>
      <c r="W157" s="584"/>
    </row>
    <row r="158" spans="1:23" ht="15.75">
      <c r="A158" s="584"/>
      <c r="B158" s="583"/>
      <c r="C158" s="584"/>
      <c r="E158" s="584"/>
      <c r="F158" s="584"/>
      <c r="G158" s="585"/>
      <c r="H158" s="584"/>
      <c r="I158" s="584"/>
      <c r="J158" s="584"/>
      <c r="K158" s="584"/>
      <c r="L158" s="583"/>
      <c r="M158" s="584"/>
      <c r="N158" s="584"/>
      <c r="O158" s="584"/>
      <c r="P158" s="584"/>
      <c r="Q158" s="584"/>
      <c r="R158" s="584"/>
      <c r="S158" s="584"/>
      <c r="T158" s="584"/>
      <c r="U158" s="584"/>
      <c r="V158" s="584"/>
      <c r="W158" s="584"/>
    </row>
    <row r="159" spans="1:23" ht="15.75">
      <c r="A159" s="584"/>
      <c r="B159" s="583"/>
      <c r="C159" s="584"/>
      <c r="E159" s="584"/>
      <c r="F159" s="584"/>
      <c r="G159" s="585"/>
      <c r="H159" s="584"/>
      <c r="I159" s="584"/>
      <c r="J159" s="584"/>
      <c r="K159" s="584"/>
      <c r="L159" s="583"/>
      <c r="M159" s="584"/>
      <c r="N159" s="584"/>
      <c r="O159" s="584"/>
      <c r="P159" s="584"/>
      <c r="Q159" s="584"/>
      <c r="R159" s="584"/>
      <c r="S159" s="584"/>
      <c r="T159" s="584"/>
      <c r="U159" s="584"/>
      <c r="V159" s="584"/>
      <c r="W159" s="584"/>
    </row>
    <row r="160" spans="1:23" ht="15.75">
      <c r="A160" s="584"/>
      <c r="B160" s="583"/>
      <c r="C160" s="584"/>
      <c r="E160" s="584"/>
      <c r="F160" s="584"/>
      <c r="G160" s="585"/>
      <c r="H160" s="584"/>
      <c r="I160" s="584"/>
      <c r="J160" s="584"/>
      <c r="K160" s="584"/>
      <c r="L160" s="583"/>
      <c r="M160" s="584"/>
      <c r="N160" s="584"/>
      <c r="O160" s="584"/>
      <c r="P160" s="584"/>
      <c r="Q160" s="584"/>
      <c r="R160" s="584"/>
      <c r="S160" s="584"/>
      <c r="T160" s="584"/>
      <c r="U160" s="584"/>
      <c r="V160" s="584"/>
      <c r="W160" s="584"/>
    </row>
    <row r="161" spans="1:23" ht="15.75">
      <c r="A161" s="584"/>
      <c r="B161" s="583"/>
      <c r="C161" s="584"/>
      <c r="E161" s="584"/>
      <c r="F161" s="584"/>
      <c r="G161" s="585"/>
      <c r="H161" s="584"/>
      <c r="I161" s="584"/>
      <c r="J161" s="584"/>
      <c r="K161" s="584"/>
      <c r="L161" s="583"/>
      <c r="M161" s="584"/>
      <c r="N161" s="584"/>
      <c r="O161" s="584"/>
      <c r="P161" s="584"/>
      <c r="Q161" s="584"/>
      <c r="R161" s="584"/>
      <c r="S161" s="584"/>
      <c r="T161" s="584"/>
      <c r="U161" s="584"/>
      <c r="V161" s="584"/>
      <c r="W161" s="584"/>
    </row>
  </sheetData>
  <mergeCells count="34">
    <mergeCell ref="A94:B94"/>
    <mergeCell ref="D5:D8"/>
    <mergeCell ref="T6:T8"/>
    <mergeCell ref="L6:N6"/>
    <mergeCell ref="P87:W87"/>
    <mergeCell ref="A5:A8"/>
    <mergeCell ref="R5:R8"/>
    <mergeCell ref="S6:S8"/>
    <mergeCell ref="H5:N5"/>
    <mergeCell ref="M7:N7"/>
    <mergeCell ref="Q93:W93"/>
    <mergeCell ref="P88:W88"/>
    <mergeCell ref="J7:K7"/>
    <mergeCell ref="U6:U8"/>
    <mergeCell ref="W6:W8"/>
    <mergeCell ref="P7:P8"/>
    <mergeCell ref="Q7:Q8"/>
    <mergeCell ref="O6:O8"/>
    <mergeCell ref="I6:K6"/>
    <mergeCell ref="L7:L8"/>
    <mergeCell ref="C5:C8"/>
    <mergeCell ref="I7:I8"/>
    <mergeCell ref="A3:W3"/>
    <mergeCell ref="A2:W2"/>
    <mergeCell ref="V6:V8"/>
    <mergeCell ref="P6:Q6"/>
    <mergeCell ref="B5:B8"/>
    <mergeCell ref="O5:Q5"/>
    <mergeCell ref="G6:G8"/>
    <mergeCell ref="S5:W5"/>
    <mergeCell ref="E6:E8"/>
    <mergeCell ref="E5:G5"/>
    <mergeCell ref="F6:F8"/>
    <mergeCell ref="H6:H8"/>
  </mergeCells>
  <pageMargins left="0.34" right="0.16" top="0" bottom="0" header="0" footer="0"/>
  <pageSetup paperSize="8" scale="68"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44"/>
  <sheetViews>
    <sheetView topLeftCell="A12" workbookViewId="0">
      <selection activeCell="B15" sqref="B15"/>
    </sheetView>
  </sheetViews>
  <sheetFormatPr defaultRowHeight="12.75"/>
  <cols>
    <col min="1" max="1" width="6.42578125" style="500" customWidth="1"/>
    <col min="2" max="2" width="28.85546875" style="500" customWidth="1"/>
    <col min="3" max="3" width="11.5703125" style="500" customWidth="1"/>
    <col min="4" max="4" width="16.28515625" style="500" customWidth="1"/>
    <col min="5" max="5" width="16.42578125" style="500" customWidth="1"/>
    <col min="6" max="6" width="17.42578125" style="500" customWidth="1"/>
    <col min="7" max="7" width="15.7109375" style="500" customWidth="1"/>
    <col min="8" max="9" width="15.28515625" style="500" customWidth="1"/>
    <col min="10" max="10" width="15.85546875" style="500" customWidth="1"/>
    <col min="11" max="11" width="13.85546875" style="500" customWidth="1"/>
    <col min="12" max="12" width="15.42578125" style="500" customWidth="1"/>
    <col min="13" max="13" width="9.28515625" style="500" customWidth="1"/>
    <col min="14" max="14" width="17" style="500" customWidth="1"/>
    <col min="15" max="15" width="15.42578125" style="500" customWidth="1"/>
    <col min="16" max="16" width="15.85546875" style="500" customWidth="1"/>
    <col min="17" max="17" width="16.42578125" style="500" customWidth="1"/>
    <col min="18" max="21" width="7.85546875" style="500" hidden="1" customWidth="1"/>
    <col min="22" max="22" width="8.42578125" style="500" hidden="1" customWidth="1"/>
    <col min="23" max="23" width="9.140625" style="500" hidden="1" customWidth="1"/>
    <col min="24" max="25" width="8.28515625" style="500" hidden="1" customWidth="1"/>
    <col min="26" max="26" width="6.7109375" style="500" hidden="1" customWidth="1"/>
    <col min="27" max="29" width="6.28515625" style="500" hidden="1" customWidth="1"/>
    <col min="30" max="30" width="5.7109375" style="500" hidden="1" customWidth="1"/>
    <col min="31" max="31" width="6.140625" style="500" hidden="1" customWidth="1"/>
    <col min="32" max="32" width="6.28515625" style="500" hidden="1" customWidth="1"/>
    <col min="33" max="34" width="7.5703125" style="500" hidden="1" customWidth="1"/>
    <col min="35" max="36" width="7.140625" style="500" hidden="1" customWidth="1"/>
    <col min="37" max="37" width="8.140625" style="500" hidden="1" customWidth="1"/>
    <col min="38" max="38" width="9.140625" style="500" hidden="1" customWidth="1"/>
    <col min="39" max="39" width="6.7109375" style="500" hidden="1" customWidth="1"/>
    <col min="40" max="40" width="7.7109375" style="500" hidden="1" customWidth="1"/>
    <col min="41" max="42" width="6.140625" style="500" hidden="1" customWidth="1"/>
    <col min="43" max="43" width="17.5703125" style="501" hidden="1" customWidth="1"/>
    <col min="44" max="44" width="20.85546875" style="500" hidden="1" customWidth="1"/>
    <col min="45" max="45" width="22.7109375" style="501" hidden="1" customWidth="1"/>
    <col min="46" max="46" width="23.28515625" style="501" hidden="1" customWidth="1"/>
    <col min="47" max="47" width="0.140625" style="501" hidden="1" customWidth="1"/>
    <col min="48" max="48" width="17.28515625" style="501" customWidth="1"/>
    <col min="49" max="52" width="9.140625" style="500" hidden="1" customWidth="1"/>
    <col min="53" max="53" width="9.85546875" style="500" customWidth="1"/>
    <col min="54" max="54" width="0.85546875" style="500" customWidth="1"/>
    <col min="55" max="55" width="9.140625" style="500" customWidth="1"/>
    <col min="56" max="16384" width="9.140625" style="500"/>
  </cols>
  <sheetData>
    <row r="1" spans="1:56" ht="3.6" customHeight="1">
      <c r="A1" s="848"/>
      <c r="B1" s="848"/>
      <c r="C1" s="848"/>
      <c r="D1" s="848"/>
      <c r="E1" s="848"/>
      <c r="F1" s="848"/>
      <c r="G1" s="848"/>
      <c r="H1" s="848"/>
      <c r="I1" s="848"/>
      <c r="J1" s="848"/>
      <c r="K1" s="848"/>
      <c r="L1" s="848"/>
      <c r="M1" s="848"/>
      <c r="N1" s="848"/>
      <c r="O1" s="848"/>
      <c r="P1" s="848"/>
      <c r="Q1" s="848"/>
      <c r="R1" s="848"/>
      <c r="S1" s="848"/>
      <c r="T1" s="848"/>
      <c r="U1" s="848"/>
      <c r="V1" s="848"/>
      <c r="W1" s="848"/>
      <c r="X1" s="848"/>
      <c r="Y1" s="848"/>
      <c r="Z1" s="848"/>
      <c r="AA1" s="848"/>
      <c r="AB1" s="848"/>
      <c r="AC1" s="848"/>
      <c r="AD1" s="848"/>
      <c r="AE1" s="848"/>
      <c r="AF1" s="848"/>
      <c r="AG1" s="848"/>
      <c r="AH1" s="848"/>
      <c r="AI1" s="848"/>
      <c r="AJ1" s="848"/>
      <c r="AK1" s="848"/>
      <c r="AL1" s="848"/>
      <c r="AM1" s="848"/>
      <c r="AN1" s="848"/>
      <c r="AO1" s="848"/>
      <c r="AP1" s="848"/>
      <c r="AQ1" s="848"/>
      <c r="AR1" s="848"/>
      <c r="AS1" s="848"/>
      <c r="AT1" s="848"/>
      <c r="AU1" s="848"/>
      <c r="AV1" s="848"/>
    </row>
    <row r="2" spans="1:56" ht="16.149999999999999" hidden="1" customHeight="1">
      <c r="A2" s="849"/>
      <c r="B2" s="849"/>
      <c r="C2" s="849"/>
      <c r="D2" s="849"/>
      <c r="E2" s="848"/>
      <c r="F2" s="848"/>
      <c r="G2" s="848"/>
      <c r="H2" s="848"/>
      <c r="I2" s="848"/>
      <c r="J2" s="848"/>
      <c r="K2" s="848"/>
      <c r="L2" s="848"/>
      <c r="M2" s="848"/>
      <c r="N2" s="848"/>
      <c r="O2" s="848"/>
      <c r="P2" s="848"/>
      <c r="Q2" s="848"/>
      <c r="R2" s="848"/>
      <c r="S2" s="848"/>
      <c r="T2" s="848"/>
      <c r="U2" s="848"/>
      <c r="V2" s="848"/>
      <c r="W2" s="848"/>
      <c r="X2" s="848"/>
      <c r="Y2" s="848"/>
      <c r="Z2" s="848"/>
      <c r="AA2" s="848"/>
      <c r="AB2" s="848"/>
      <c r="AC2" s="848"/>
      <c r="AD2" s="848"/>
      <c r="AE2" s="848"/>
      <c r="AF2" s="848"/>
      <c r="AG2" s="848"/>
      <c r="AH2" s="848"/>
      <c r="AI2" s="848"/>
      <c r="AJ2" s="848"/>
      <c r="AK2" s="848"/>
      <c r="AL2" s="848"/>
      <c r="AM2" s="848"/>
      <c r="AN2" s="848"/>
      <c r="AO2" s="848"/>
      <c r="AP2" s="848"/>
      <c r="AQ2" s="848"/>
      <c r="AR2" s="848"/>
      <c r="AS2" s="848"/>
      <c r="AT2" s="848"/>
      <c r="AU2" s="848"/>
      <c r="AV2" s="848"/>
    </row>
    <row r="3" spans="1:56" hidden="1">
      <c r="A3" s="849"/>
      <c r="B3" s="849"/>
      <c r="C3" s="849"/>
      <c r="D3" s="849"/>
      <c r="E3" s="850"/>
      <c r="F3" s="850"/>
      <c r="G3" s="850"/>
      <c r="H3" s="850"/>
      <c r="I3" s="850"/>
      <c r="J3" s="850"/>
      <c r="K3" s="850"/>
      <c r="L3" s="850"/>
      <c r="M3" s="850"/>
      <c r="N3" s="850"/>
      <c r="O3" s="850"/>
      <c r="P3" s="850"/>
      <c r="Q3" s="850"/>
      <c r="R3" s="850"/>
      <c r="S3" s="850"/>
      <c r="T3" s="850"/>
      <c r="U3" s="850"/>
      <c r="V3" s="850"/>
      <c r="W3" s="850"/>
      <c r="X3" s="850"/>
      <c r="Y3" s="850"/>
      <c r="Z3" s="850"/>
      <c r="AA3" s="850"/>
      <c r="AB3" s="850"/>
      <c r="AC3" s="850"/>
      <c r="AD3" s="850"/>
      <c r="AE3" s="850"/>
      <c r="AF3" s="850"/>
      <c r="AG3" s="850"/>
      <c r="AH3" s="850"/>
      <c r="AI3" s="850"/>
      <c r="AJ3" s="850"/>
      <c r="AK3" s="850"/>
      <c r="AL3" s="850"/>
      <c r="AM3" s="850"/>
      <c r="AN3" s="850"/>
      <c r="AO3" s="850"/>
      <c r="AP3" s="850"/>
      <c r="AQ3" s="850"/>
      <c r="AR3" s="850"/>
      <c r="AS3" s="850"/>
      <c r="AT3" s="850"/>
      <c r="AU3" s="850"/>
      <c r="AV3" s="850"/>
    </row>
    <row r="4" spans="1:56" hidden="1">
      <c r="A4" s="844"/>
      <c r="B4" s="844"/>
      <c r="C4" s="844"/>
      <c r="D4" s="844"/>
    </row>
    <row r="5" spans="1:56" hidden="1"/>
    <row r="6" spans="1:56" ht="19.899999999999999" customHeight="1">
      <c r="A6" s="845" t="s">
        <v>678</v>
      </c>
      <c r="B6" s="84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5"/>
      <c r="AH6" s="845"/>
      <c r="AI6" s="845"/>
      <c r="AJ6" s="845"/>
      <c r="AK6" s="845"/>
      <c r="AL6" s="845"/>
      <c r="AM6" s="845"/>
      <c r="AN6" s="845"/>
      <c r="AO6" s="845"/>
      <c r="AP6" s="845"/>
      <c r="AQ6" s="845"/>
      <c r="AR6" s="845"/>
      <c r="AS6" s="845"/>
      <c r="AT6" s="845"/>
      <c r="AU6" s="845"/>
      <c r="AV6" s="845"/>
    </row>
    <row r="7" spans="1:56" ht="27.75" customHeight="1">
      <c r="A7" s="846" t="s">
        <v>679</v>
      </c>
      <c r="B7" s="846"/>
      <c r="C7" s="846"/>
      <c r="D7" s="846"/>
      <c r="E7" s="846"/>
      <c r="F7" s="846"/>
      <c r="G7" s="846"/>
      <c r="H7" s="846"/>
      <c r="I7" s="846"/>
      <c r="J7" s="846"/>
      <c r="K7" s="846"/>
      <c r="L7" s="846"/>
      <c r="M7" s="846"/>
      <c r="N7" s="846"/>
      <c r="O7" s="846"/>
      <c r="P7" s="846"/>
      <c r="Q7" s="846"/>
      <c r="R7" s="846"/>
      <c r="S7" s="846"/>
      <c r="T7" s="846"/>
      <c r="U7" s="846"/>
      <c r="V7" s="846"/>
      <c r="W7" s="846"/>
      <c r="X7" s="846"/>
      <c r="Y7" s="846"/>
      <c r="Z7" s="846"/>
      <c r="AA7" s="846"/>
      <c r="AB7" s="846"/>
      <c r="AC7" s="846"/>
      <c r="AD7" s="846"/>
      <c r="AE7" s="846"/>
      <c r="AF7" s="846"/>
      <c r="AG7" s="846"/>
      <c r="AH7" s="846"/>
      <c r="AI7" s="846"/>
      <c r="AJ7" s="846"/>
      <c r="AK7" s="846"/>
      <c r="AL7" s="846"/>
      <c r="AM7" s="846"/>
      <c r="AN7" s="846"/>
      <c r="AO7" s="846"/>
      <c r="AP7" s="846"/>
      <c r="AQ7" s="846"/>
      <c r="AR7" s="846"/>
      <c r="AS7" s="846"/>
      <c r="AT7" s="846"/>
      <c r="AU7" s="846"/>
      <c r="AV7" s="846"/>
      <c r="BC7" s="500" t="s">
        <v>680</v>
      </c>
      <c r="BD7" s="500" t="s">
        <v>681</v>
      </c>
    </row>
    <row r="8" spans="1:56">
      <c r="H8" s="502"/>
      <c r="AU8" s="847" t="s">
        <v>682</v>
      </c>
      <c r="AV8" s="847"/>
      <c r="BC8" s="500">
        <f>SUM(BC9:BC43)</f>
        <v>21</v>
      </c>
    </row>
    <row r="9" spans="1:56" ht="39.75" customHeight="1">
      <c r="A9" s="830" t="s">
        <v>129</v>
      </c>
      <c r="B9" s="830" t="s">
        <v>130</v>
      </c>
      <c r="C9" s="831" t="s">
        <v>375</v>
      </c>
      <c r="D9" s="831" t="s">
        <v>131</v>
      </c>
      <c r="E9" s="831" t="s">
        <v>376</v>
      </c>
      <c r="F9" s="831" t="s">
        <v>377</v>
      </c>
      <c r="G9" s="831" t="s">
        <v>378</v>
      </c>
      <c r="H9" s="831"/>
      <c r="I9" s="831"/>
      <c r="J9" s="831" t="s">
        <v>379</v>
      </c>
      <c r="K9" s="831"/>
      <c r="L9" s="831"/>
      <c r="M9" s="840" t="s">
        <v>132</v>
      </c>
      <c r="N9" s="840" t="s">
        <v>380</v>
      </c>
      <c r="O9" s="831" t="s">
        <v>417</v>
      </c>
      <c r="P9" s="831"/>
      <c r="Q9" s="831"/>
      <c r="R9" s="841" t="s">
        <v>381</v>
      </c>
      <c r="S9" s="842"/>
      <c r="T9" s="842"/>
      <c r="U9" s="842"/>
      <c r="V9" s="842"/>
      <c r="W9" s="842"/>
      <c r="X9" s="842"/>
      <c r="Y9" s="842"/>
      <c r="Z9" s="842"/>
      <c r="AA9" s="842"/>
      <c r="AB9" s="842"/>
      <c r="AC9" s="842"/>
      <c r="AD9" s="842"/>
      <c r="AE9" s="842"/>
      <c r="AF9" s="842"/>
      <c r="AG9" s="842"/>
      <c r="AH9" s="842"/>
      <c r="AI9" s="842"/>
      <c r="AJ9" s="842"/>
      <c r="AK9" s="842"/>
      <c r="AL9" s="842"/>
      <c r="AM9" s="842"/>
      <c r="AN9" s="842"/>
      <c r="AO9" s="842"/>
      <c r="AP9" s="842"/>
      <c r="AQ9" s="842"/>
      <c r="AR9" s="843"/>
      <c r="AS9" s="830" t="s">
        <v>382</v>
      </c>
      <c r="AT9" s="831" t="s">
        <v>383</v>
      </c>
      <c r="AU9" s="832" t="s">
        <v>133</v>
      </c>
      <c r="AV9" s="831" t="s">
        <v>431</v>
      </c>
      <c r="AW9" s="835" t="s">
        <v>416</v>
      </c>
      <c r="AX9" s="836"/>
      <c r="AY9" s="836"/>
      <c r="AZ9" s="836"/>
      <c r="BA9" s="837"/>
    </row>
    <row r="10" spans="1:56" ht="14.25" customHeight="1">
      <c r="A10" s="830"/>
      <c r="B10" s="830"/>
      <c r="C10" s="831"/>
      <c r="D10" s="831"/>
      <c r="E10" s="831"/>
      <c r="F10" s="831"/>
      <c r="G10" s="833" t="s">
        <v>5</v>
      </c>
      <c r="H10" s="838" t="s">
        <v>134</v>
      </c>
      <c r="I10" s="839"/>
      <c r="J10" s="833" t="s">
        <v>5</v>
      </c>
      <c r="K10" s="838" t="s">
        <v>134</v>
      </c>
      <c r="L10" s="839"/>
      <c r="M10" s="840"/>
      <c r="N10" s="840"/>
      <c r="O10" s="833" t="s">
        <v>5</v>
      </c>
      <c r="P10" s="838" t="s">
        <v>134</v>
      </c>
      <c r="Q10" s="839"/>
      <c r="R10" s="841" t="s">
        <v>384</v>
      </c>
      <c r="S10" s="842"/>
      <c r="T10" s="842"/>
      <c r="U10" s="843"/>
      <c r="V10" s="841" t="s">
        <v>385</v>
      </c>
      <c r="W10" s="842"/>
      <c r="X10" s="842"/>
      <c r="Y10" s="842"/>
      <c r="Z10" s="842"/>
      <c r="AA10" s="842"/>
      <c r="AB10" s="842"/>
      <c r="AC10" s="843"/>
      <c r="AD10" s="841" t="s">
        <v>386</v>
      </c>
      <c r="AE10" s="842"/>
      <c r="AF10" s="842"/>
      <c r="AG10" s="842"/>
      <c r="AH10" s="843"/>
      <c r="AI10" s="841" t="s">
        <v>387</v>
      </c>
      <c r="AJ10" s="842"/>
      <c r="AK10" s="842"/>
      <c r="AL10" s="842"/>
      <c r="AM10" s="842"/>
      <c r="AN10" s="842"/>
      <c r="AO10" s="842"/>
      <c r="AP10" s="842"/>
      <c r="AQ10" s="843"/>
      <c r="AR10" s="832" t="s">
        <v>388</v>
      </c>
      <c r="AS10" s="830"/>
      <c r="AT10" s="831"/>
      <c r="AU10" s="833"/>
      <c r="AV10" s="831"/>
      <c r="AW10" s="505" t="s">
        <v>389</v>
      </c>
      <c r="AX10" s="505" t="s">
        <v>390</v>
      </c>
      <c r="AY10" s="505" t="s">
        <v>391</v>
      </c>
      <c r="AZ10" s="505" t="s">
        <v>392</v>
      </c>
      <c r="BA10" s="505" t="s">
        <v>393</v>
      </c>
    </row>
    <row r="11" spans="1:56" ht="45.75" customHeight="1">
      <c r="A11" s="830"/>
      <c r="B11" s="830"/>
      <c r="C11" s="831"/>
      <c r="D11" s="831"/>
      <c r="E11" s="831"/>
      <c r="F11" s="831"/>
      <c r="G11" s="834"/>
      <c r="H11" s="504" t="s">
        <v>394</v>
      </c>
      <c r="I11" s="504" t="s">
        <v>395</v>
      </c>
      <c r="J11" s="834"/>
      <c r="K11" s="504" t="s">
        <v>394</v>
      </c>
      <c r="L11" s="504" t="s">
        <v>395</v>
      </c>
      <c r="M11" s="840"/>
      <c r="N11" s="840"/>
      <c r="O11" s="834"/>
      <c r="P11" s="504" t="s">
        <v>394</v>
      </c>
      <c r="Q11" s="504" t="s">
        <v>395</v>
      </c>
      <c r="R11" s="506" t="s">
        <v>396</v>
      </c>
      <c r="S11" s="506" t="s">
        <v>397</v>
      </c>
      <c r="T11" s="506" t="s">
        <v>398</v>
      </c>
      <c r="U11" s="506" t="s">
        <v>399</v>
      </c>
      <c r="V11" s="506" t="s">
        <v>400</v>
      </c>
      <c r="W11" s="506" t="s">
        <v>401</v>
      </c>
      <c r="X11" s="506" t="s">
        <v>402</v>
      </c>
      <c r="Y11" s="506" t="s">
        <v>403</v>
      </c>
      <c r="Z11" s="506" t="s">
        <v>404</v>
      </c>
      <c r="AA11" s="506" t="s">
        <v>405</v>
      </c>
      <c r="AB11" s="506" t="s">
        <v>406</v>
      </c>
      <c r="AC11" s="506" t="s">
        <v>407</v>
      </c>
      <c r="AD11" s="507" t="s">
        <v>389</v>
      </c>
      <c r="AE11" s="507" t="s">
        <v>390</v>
      </c>
      <c r="AF11" s="507" t="s">
        <v>391</v>
      </c>
      <c r="AG11" s="507" t="s">
        <v>392</v>
      </c>
      <c r="AH11" s="507" t="s">
        <v>393</v>
      </c>
      <c r="AI11" s="507" t="s">
        <v>408</v>
      </c>
      <c r="AJ11" s="507" t="s">
        <v>409</v>
      </c>
      <c r="AK11" s="507" t="s">
        <v>410</v>
      </c>
      <c r="AL11" s="507" t="s">
        <v>411</v>
      </c>
      <c r="AM11" s="507" t="s">
        <v>412</v>
      </c>
      <c r="AN11" s="507" t="s">
        <v>413</v>
      </c>
      <c r="AO11" s="506" t="s">
        <v>429</v>
      </c>
      <c r="AP11" s="506" t="s">
        <v>414</v>
      </c>
      <c r="AQ11" s="506" t="s">
        <v>415</v>
      </c>
      <c r="AR11" s="834"/>
      <c r="AS11" s="830"/>
      <c r="AT11" s="831"/>
      <c r="AU11" s="834"/>
      <c r="AV11" s="831"/>
    </row>
    <row r="12" spans="1:56" ht="15">
      <c r="A12" s="503">
        <v>1</v>
      </c>
      <c r="B12" s="503">
        <v>2</v>
      </c>
      <c r="C12" s="504">
        <v>3</v>
      </c>
      <c r="D12" s="504">
        <v>4</v>
      </c>
      <c r="E12" s="506">
        <v>5</v>
      </c>
      <c r="F12" s="504">
        <v>6</v>
      </c>
      <c r="G12" s="504">
        <v>7</v>
      </c>
      <c r="H12" s="504">
        <v>8</v>
      </c>
      <c r="I12" s="504">
        <v>9</v>
      </c>
      <c r="J12" s="504">
        <v>10</v>
      </c>
      <c r="K12" s="504">
        <v>11</v>
      </c>
      <c r="L12" s="504">
        <v>12</v>
      </c>
      <c r="M12" s="504">
        <v>13</v>
      </c>
      <c r="N12" s="504">
        <v>14</v>
      </c>
      <c r="O12" s="504">
        <v>15</v>
      </c>
      <c r="P12" s="504">
        <v>16</v>
      </c>
      <c r="Q12" s="504">
        <v>17</v>
      </c>
      <c r="R12" s="504">
        <v>18</v>
      </c>
      <c r="S12" s="504">
        <v>19</v>
      </c>
      <c r="T12" s="504">
        <v>20</v>
      </c>
      <c r="U12" s="504">
        <v>21</v>
      </c>
      <c r="V12" s="504">
        <v>22</v>
      </c>
      <c r="W12" s="504">
        <v>23</v>
      </c>
      <c r="X12" s="504">
        <v>24</v>
      </c>
      <c r="Y12" s="504">
        <v>25</v>
      </c>
      <c r="Z12" s="504">
        <v>26</v>
      </c>
      <c r="AA12" s="504">
        <v>27</v>
      </c>
      <c r="AB12" s="504">
        <v>28</v>
      </c>
      <c r="AC12" s="504">
        <v>29</v>
      </c>
      <c r="AD12" s="504">
        <v>30</v>
      </c>
      <c r="AE12" s="504">
        <v>31</v>
      </c>
      <c r="AF12" s="504">
        <v>32</v>
      </c>
      <c r="AG12" s="504">
        <v>33</v>
      </c>
      <c r="AH12" s="504">
        <v>34</v>
      </c>
      <c r="AI12" s="504">
        <v>35</v>
      </c>
      <c r="AJ12" s="504">
        <v>36</v>
      </c>
      <c r="AK12" s="504">
        <v>37</v>
      </c>
      <c r="AL12" s="504">
        <v>38</v>
      </c>
      <c r="AM12" s="504">
        <v>39</v>
      </c>
      <c r="AN12" s="504">
        <v>40</v>
      </c>
      <c r="AO12" s="504">
        <v>41</v>
      </c>
      <c r="AP12" s="504">
        <v>42</v>
      </c>
      <c r="AQ12" s="504">
        <v>43</v>
      </c>
      <c r="AR12" s="504">
        <v>44</v>
      </c>
      <c r="AS12" s="504">
        <v>45</v>
      </c>
      <c r="AT12" s="504">
        <v>46</v>
      </c>
      <c r="AU12" s="504">
        <v>47</v>
      </c>
      <c r="AV12" s="504">
        <v>48</v>
      </c>
    </row>
    <row r="13" spans="1:56" ht="44.25" customHeight="1">
      <c r="A13" s="503"/>
      <c r="B13" s="503" t="s">
        <v>14</v>
      </c>
      <c r="C13" s="504"/>
      <c r="D13" s="508">
        <f>D14</f>
        <v>58752107</v>
      </c>
      <c r="E13" s="508">
        <f t="shared" ref="E13:AQ14" si="0">E14</f>
        <v>29961189</v>
      </c>
      <c r="F13" s="508">
        <f t="shared" si="0"/>
        <v>55355000</v>
      </c>
      <c r="G13" s="508">
        <f t="shared" si="0"/>
        <v>13155571</v>
      </c>
      <c r="H13" s="508">
        <f t="shared" si="0"/>
        <v>13155571</v>
      </c>
      <c r="I13" s="508">
        <f t="shared" si="0"/>
        <v>0</v>
      </c>
      <c r="J13" s="508">
        <f t="shared" si="0"/>
        <v>4544496</v>
      </c>
      <c r="K13" s="508">
        <f t="shared" si="0"/>
        <v>4544496</v>
      </c>
      <c r="L13" s="508">
        <f t="shared" si="0"/>
        <v>0</v>
      </c>
      <c r="M13" s="509">
        <f>J13/G13</f>
        <v>0.34544270256304344</v>
      </c>
      <c r="N13" s="508">
        <f t="shared" si="0"/>
        <v>1491351</v>
      </c>
      <c r="O13" s="508">
        <f t="shared" si="0"/>
        <v>10256463</v>
      </c>
      <c r="P13" s="508">
        <f t="shared" si="0"/>
        <v>10256463</v>
      </c>
      <c r="Q13" s="508">
        <f t="shared" si="0"/>
        <v>0</v>
      </c>
      <c r="R13" s="508">
        <f t="shared" si="0"/>
        <v>0</v>
      </c>
      <c r="S13" s="508">
        <f t="shared" si="0"/>
        <v>0</v>
      </c>
      <c r="T13" s="508">
        <f t="shared" si="0"/>
        <v>0</v>
      </c>
      <c r="U13" s="508">
        <f t="shared" si="0"/>
        <v>0</v>
      </c>
      <c r="V13" s="508">
        <f t="shared" si="0"/>
        <v>0</v>
      </c>
      <c r="W13" s="508">
        <f t="shared" si="0"/>
        <v>0</v>
      </c>
      <c r="X13" s="508">
        <f t="shared" si="0"/>
        <v>0</v>
      </c>
      <c r="Y13" s="508">
        <f t="shared" si="0"/>
        <v>0</v>
      </c>
      <c r="Z13" s="508">
        <f t="shared" si="0"/>
        <v>0</v>
      </c>
      <c r="AA13" s="508">
        <f t="shared" si="0"/>
        <v>0</v>
      </c>
      <c r="AB13" s="508">
        <f t="shared" si="0"/>
        <v>0</v>
      </c>
      <c r="AC13" s="508">
        <f t="shared" si="0"/>
        <v>0</v>
      </c>
      <c r="AD13" s="508">
        <f t="shared" si="0"/>
        <v>0</v>
      </c>
      <c r="AE13" s="508">
        <f t="shared" si="0"/>
        <v>0</v>
      </c>
      <c r="AF13" s="508">
        <f t="shared" si="0"/>
        <v>0</v>
      </c>
      <c r="AG13" s="508">
        <f t="shared" si="0"/>
        <v>0</v>
      </c>
      <c r="AH13" s="508">
        <f t="shared" si="0"/>
        <v>0</v>
      </c>
      <c r="AI13" s="508">
        <f t="shared" si="0"/>
        <v>0</v>
      </c>
      <c r="AJ13" s="508">
        <f t="shared" si="0"/>
        <v>0</v>
      </c>
      <c r="AK13" s="508">
        <f t="shared" si="0"/>
        <v>0</v>
      </c>
      <c r="AL13" s="508">
        <f t="shared" si="0"/>
        <v>0</v>
      </c>
      <c r="AM13" s="508">
        <f t="shared" si="0"/>
        <v>0</v>
      </c>
      <c r="AN13" s="508">
        <f t="shared" si="0"/>
        <v>0</v>
      </c>
      <c r="AO13" s="508">
        <f t="shared" si="0"/>
        <v>0</v>
      </c>
      <c r="AP13" s="508">
        <f t="shared" si="0"/>
        <v>0</v>
      </c>
      <c r="AQ13" s="508">
        <f t="shared" si="0"/>
        <v>0</v>
      </c>
      <c r="AR13" s="504"/>
      <c r="AS13" s="504"/>
      <c r="AT13" s="504"/>
      <c r="AU13" s="504"/>
      <c r="AV13" s="504"/>
    </row>
    <row r="14" spans="1:56" s="512" customFormat="1" ht="51.75" customHeight="1">
      <c r="A14" s="503"/>
      <c r="B14" s="510" t="s">
        <v>683</v>
      </c>
      <c r="C14" s="511"/>
      <c r="D14" s="508">
        <f>D15</f>
        <v>58752107</v>
      </c>
      <c r="E14" s="508">
        <f t="shared" si="0"/>
        <v>29961189</v>
      </c>
      <c r="F14" s="508">
        <f t="shared" si="0"/>
        <v>55355000</v>
      </c>
      <c r="G14" s="508">
        <f t="shared" si="0"/>
        <v>13155571</v>
      </c>
      <c r="H14" s="508">
        <f t="shared" si="0"/>
        <v>13155571</v>
      </c>
      <c r="I14" s="508">
        <f t="shared" si="0"/>
        <v>0</v>
      </c>
      <c r="J14" s="508">
        <f t="shared" si="0"/>
        <v>4544496</v>
      </c>
      <c r="K14" s="508">
        <f t="shared" si="0"/>
        <v>4544496</v>
      </c>
      <c r="L14" s="508">
        <f t="shared" si="0"/>
        <v>0</v>
      </c>
      <c r="M14" s="508">
        <f t="shared" si="0"/>
        <v>0.34544270256304344</v>
      </c>
      <c r="N14" s="508">
        <f t="shared" si="0"/>
        <v>1491351</v>
      </c>
      <c r="O14" s="508">
        <f t="shared" si="0"/>
        <v>10256463</v>
      </c>
      <c r="P14" s="508">
        <f t="shared" si="0"/>
        <v>10256463</v>
      </c>
      <c r="Q14" s="508">
        <f t="shared" si="0"/>
        <v>0</v>
      </c>
      <c r="R14" s="508">
        <f t="shared" si="0"/>
        <v>0</v>
      </c>
      <c r="S14" s="508">
        <f t="shared" si="0"/>
        <v>0</v>
      </c>
      <c r="T14" s="508">
        <f t="shared" si="0"/>
        <v>0</v>
      </c>
      <c r="U14" s="508">
        <f t="shared" si="0"/>
        <v>0</v>
      </c>
      <c r="V14" s="508">
        <f t="shared" si="0"/>
        <v>0</v>
      </c>
      <c r="W14" s="508">
        <f t="shared" si="0"/>
        <v>0</v>
      </c>
      <c r="X14" s="508">
        <f t="shared" si="0"/>
        <v>0</v>
      </c>
      <c r="Y14" s="508">
        <f t="shared" si="0"/>
        <v>0</v>
      </c>
      <c r="Z14" s="508">
        <f t="shared" si="0"/>
        <v>0</v>
      </c>
      <c r="AA14" s="508">
        <f t="shared" si="0"/>
        <v>0</v>
      </c>
      <c r="AB14" s="508">
        <f t="shared" si="0"/>
        <v>0</v>
      </c>
      <c r="AC14" s="508">
        <f t="shared" si="0"/>
        <v>0</v>
      </c>
      <c r="AD14" s="508">
        <f t="shared" si="0"/>
        <v>0</v>
      </c>
      <c r="AE14" s="508">
        <f t="shared" si="0"/>
        <v>0</v>
      </c>
      <c r="AF14" s="508">
        <f t="shared" si="0"/>
        <v>0</v>
      </c>
      <c r="AG14" s="508">
        <f t="shared" si="0"/>
        <v>0</v>
      </c>
      <c r="AH14" s="508">
        <f t="shared" si="0"/>
        <v>0</v>
      </c>
      <c r="AI14" s="508">
        <f t="shared" si="0"/>
        <v>0</v>
      </c>
      <c r="AJ14" s="508">
        <f t="shared" si="0"/>
        <v>0</v>
      </c>
      <c r="AK14" s="508">
        <f t="shared" si="0"/>
        <v>0</v>
      </c>
      <c r="AL14" s="508">
        <f t="shared" si="0"/>
        <v>0</v>
      </c>
      <c r="AM14" s="508">
        <f t="shared" si="0"/>
        <v>0</v>
      </c>
      <c r="AN14" s="508">
        <f t="shared" si="0"/>
        <v>0</v>
      </c>
      <c r="AO14" s="508">
        <f t="shared" si="0"/>
        <v>0</v>
      </c>
      <c r="AP14" s="508">
        <f t="shared" si="0"/>
        <v>0</v>
      </c>
      <c r="AQ14" s="508">
        <f t="shared" si="0"/>
        <v>0</v>
      </c>
      <c r="AR14" s="508">
        <f>AR15</f>
        <v>0</v>
      </c>
      <c r="AS14" s="508">
        <f>AS15</f>
        <v>0</v>
      </c>
      <c r="AT14" s="508">
        <f>AT15</f>
        <v>0</v>
      </c>
      <c r="AU14" s="508">
        <f>AU15</f>
        <v>0</v>
      </c>
      <c r="AV14" s="503"/>
    </row>
    <row r="15" spans="1:56" s="512" customFormat="1" ht="57.75" customHeight="1">
      <c r="A15" s="478"/>
      <c r="B15" s="479" t="s">
        <v>648</v>
      </c>
      <c r="C15" s="480"/>
      <c r="D15" s="481">
        <f>SUM(D16:D43)</f>
        <v>58752107</v>
      </c>
      <c r="E15" s="481">
        <f t="shared" ref="E15:L15" si="1">SUM(E16:E43)</f>
        <v>29961189</v>
      </c>
      <c r="F15" s="481">
        <f t="shared" si="1"/>
        <v>55355000</v>
      </c>
      <c r="G15" s="481">
        <f t="shared" si="1"/>
        <v>13155571</v>
      </c>
      <c r="H15" s="481">
        <f t="shared" si="1"/>
        <v>13155571</v>
      </c>
      <c r="I15" s="481">
        <f t="shared" si="1"/>
        <v>0</v>
      </c>
      <c r="J15" s="481">
        <f t="shared" si="1"/>
        <v>4544496</v>
      </c>
      <c r="K15" s="481">
        <f t="shared" si="1"/>
        <v>4544496</v>
      </c>
      <c r="L15" s="481">
        <f t="shared" si="1"/>
        <v>0</v>
      </c>
      <c r="M15" s="482">
        <f>J15/G15</f>
        <v>0.34544270256304344</v>
      </c>
      <c r="N15" s="481">
        <f t="shared" ref="N15:AV15" si="2">SUM(N16:N43)</f>
        <v>1491351</v>
      </c>
      <c r="O15" s="481">
        <f t="shared" si="2"/>
        <v>10256463</v>
      </c>
      <c r="P15" s="481">
        <f t="shared" si="2"/>
        <v>10256463</v>
      </c>
      <c r="Q15" s="481">
        <f t="shared" si="2"/>
        <v>0</v>
      </c>
      <c r="R15" s="481">
        <f t="shared" si="2"/>
        <v>0</v>
      </c>
      <c r="S15" s="481">
        <f t="shared" si="2"/>
        <v>0</v>
      </c>
      <c r="T15" s="481">
        <f t="shared" si="2"/>
        <v>0</v>
      </c>
      <c r="U15" s="481">
        <f t="shared" si="2"/>
        <v>0</v>
      </c>
      <c r="V15" s="481">
        <f t="shared" si="2"/>
        <v>0</v>
      </c>
      <c r="W15" s="481">
        <f t="shared" si="2"/>
        <v>0</v>
      </c>
      <c r="X15" s="481">
        <f t="shared" si="2"/>
        <v>0</v>
      </c>
      <c r="Y15" s="481">
        <f t="shared" si="2"/>
        <v>0</v>
      </c>
      <c r="Z15" s="481">
        <f t="shared" si="2"/>
        <v>0</v>
      </c>
      <c r="AA15" s="481">
        <f t="shared" si="2"/>
        <v>0</v>
      </c>
      <c r="AB15" s="481">
        <f t="shared" si="2"/>
        <v>0</v>
      </c>
      <c r="AC15" s="481">
        <f t="shared" si="2"/>
        <v>0</v>
      </c>
      <c r="AD15" s="481">
        <f t="shared" si="2"/>
        <v>0</v>
      </c>
      <c r="AE15" s="481">
        <f t="shared" si="2"/>
        <v>0</v>
      </c>
      <c r="AF15" s="481">
        <f t="shared" si="2"/>
        <v>0</v>
      </c>
      <c r="AG15" s="481">
        <f t="shared" si="2"/>
        <v>0</v>
      </c>
      <c r="AH15" s="481">
        <f t="shared" si="2"/>
        <v>0</v>
      </c>
      <c r="AI15" s="481">
        <f t="shared" si="2"/>
        <v>0</v>
      </c>
      <c r="AJ15" s="481">
        <f t="shared" si="2"/>
        <v>0</v>
      </c>
      <c r="AK15" s="481">
        <f t="shared" si="2"/>
        <v>0</v>
      </c>
      <c r="AL15" s="481">
        <f t="shared" si="2"/>
        <v>0</v>
      </c>
      <c r="AM15" s="481">
        <f t="shared" si="2"/>
        <v>0</v>
      </c>
      <c r="AN15" s="481">
        <f t="shared" si="2"/>
        <v>0</v>
      </c>
      <c r="AO15" s="481">
        <f t="shared" si="2"/>
        <v>0</v>
      </c>
      <c r="AP15" s="481">
        <f t="shared" si="2"/>
        <v>0</v>
      </c>
      <c r="AQ15" s="513">
        <f t="shared" si="2"/>
        <v>0</v>
      </c>
      <c r="AR15" s="481">
        <f t="shared" si="2"/>
        <v>0</v>
      </c>
      <c r="AS15" s="481"/>
      <c r="AT15" s="481"/>
      <c r="AU15" s="481"/>
      <c r="AV15" s="481">
        <f t="shared" si="2"/>
        <v>0</v>
      </c>
    </row>
    <row r="16" spans="1:56" ht="105" customHeight="1">
      <c r="A16" s="483">
        <v>1</v>
      </c>
      <c r="B16" s="484" t="s">
        <v>649</v>
      </c>
      <c r="C16" s="485" t="s">
        <v>650</v>
      </c>
      <c r="D16" s="486">
        <v>1858348</v>
      </c>
      <c r="E16" s="486">
        <f>1119891</f>
        <v>1119891</v>
      </c>
      <c r="F16" s="486">
        <v>1760000</v>
      </c>
      <c r="G16" s="486">
        <f t="shared" ref="G16:G43" si="3">H16+I16</f>
        <v>640109</v>
      </c>
      <c r="H16" s="486">
        <f>F16-E16</f>
        <v>640109</v>
      </c>
      <c r="I16" s="486"/>
      <c r="J16" s="486">
        <f>K16+L16</f>
        <v>508166</v>
      </c>
      <c r="K16" s="486">
        <v>508166</v>
      </c>
      <c r="L16" s="487"/>
      <c r="M16" s="486">
        <f>K16/G16*100</f>
        <v>79.387416830571041</v>
      </c>
      <c r="N16" s="486">
        <f>K16</f>
        <v>508166</v>
      </c>
      <c r="O16" s="486">
        <f>P16+Q16</f>
        <v>640109</v>
      </c>
      <c r="P16" s="486">
        <f>G16</f>
        <v>640109</v>
      </c>
      <c r="Q16" s="487"/>
      <c r="R16" s="487"/>
      <c r="S16" s="487"/>
      <c r="T16" s="487"/>
      <c r="U16" s="487"/>
      <c r="V16" s="487"/>
      <c r="W16" s="487"/>
      <c r="X16" s="487"/>
      <c r="Y16" s="487"/>
      <c r="Z16" s="487"/>
      <c r="AA16" s="487"/>
      <c r="AB16" s="487"/>
      <c r="AC16" s="487"/>
      <c r="AD16" s="487"/>
      <c r="AE16" s="487"/>
      <c r="AF16" s="487"/>
      <c r="AG16" s="487"/>
      <c r="AH16" s="487"/>
      <c r="AI16" s="487"/>
      <c r="AJ16" s="487"/>
      <c r="AK16" s="487"/>
      <c r="AL16" s="487"/>
      <c r="AM16" s="487"/>
      <c r="AN16" s="487"/>
      <c r="AO16" s="487"/>
      <c r="AP16" s="487"/>
      <c r="AQ16" s="514" t="s">
        <v>684</v>
      </c>
      <c r="AR16" s="483" t="s">
        <v>685</v>
      </c>
      <c r="AS16" s="483" t="s">
        <v>686</v>
      </c>
      <c r="AT16" s="487"/>
      <c r="AU16" s="487"/>
      <c r="AV16" s="487"/>
    </row>
    <row r="17" spans="1:55" ht="89.25" customHeight="1">
      <c r="A17" s="483">
        <v>2</v>
      </c>
      <c r="B17" s="484" t="s">
        <v>651</v>
      </c>
      <c r="C17" s="485" t="s">
        <v>650</v>
      </c>
      <c r="D17" s="486">
        <v>2802104</v>
      </c>
      <c r="E17" s="486">
        <v>1468484</v>
      </c>
      <c r="F17" s="486">
        <v>2632000</v>
      </c>
      <c r="G17" s="486">
        <f t="shared" si="3"/>
        <v>1163516</v>
      </c>
      <c r="H17" s="486">
        <f>F17-E17</f>
        <v>1163516</v>
      </c>
      <c r="I17" s="486"/>
      <c r="J17" s="486">
        <f t="shared" ref="J17:J43" si="4">K17+L17</f>
        <v>170334</v>
      </c>
      <c r="K17" s="488">
        <v>170334</v>
      </c>
      <c r="L17" s="487"/>
      <c r="M17" s="486">
        <f>K17/G17*100</f>
        <v>14.639592407839686</v>
      </c>
      <c r="N17" s="486">
        <f t="shared" ref="N17:N24" si="5">K17</f>
        <v>170334</v>
      </c>
      <c r="O17" s="486">
        <f t="shared" ref="O17:O24" si="6">P17+Q17</f>
        <v>1163516</v>
      </c>
      <c r="P17" s="486">
        <f t="shared" ref="P17:P43" si="7">G17</f>
        <v>1163516</v>
      </c>
      <c r="Q17" s="487"/>
      <c r="R17" s="487"/>
      <c r="S17" s="487"/>
      <c r="T17" s="487"/>
      <c r="U17" s="487"/>
      <c r="V17" s="487"/>
      <c r="W17" s="487"/>
      <c r="X17" s="487"/>
      <c r="Y17" s="487"/>
      <c r="Z17" s="487"/>
      <c r="AA17" s="487"/>
      <c r="AB17" s="487"/>
      <c r="AC17" s="487"/>
      <c r="AD17" s="487"/>
      <c r="AE17" s="487"/>
      <c r="AF17" s="487"/>
      <c r="AG17" s="487"/>
      <c r="AH17" s="487"/>
      <c r="AI17" s="487"/>
      <c r="AJ17" s="487"/>
      <c r="AK17" s="487"/>
      <c r="AL17" s="487"/>
      <c r="AM17" s="487"/>
      <c r="AN17" s="487"/>
      <c r="AO17" s="487"/>
      <c r="AP17" s="487"/>
      <c r="AQ17" s="514" t="s">
        <v>687</v>
      </c>
      <c r="AR17" s="483" t="s">
        <v>286</v>
      </c>
      <c r="AS17" s="515"/>
      <c r="AT17" s="487"/>
      <c r="AU17" s="487"/>
      <c r="AV17" s="487"/>
      <c r="BC17" s="500">
        <v>1</v>
      </c>
    </row>
    <row r="18" spans="1:55" s="516" customFormat="1" ht="95.25" customHeight="1">
      <c r="A18" s="483">
        <v>3</v>
      </c>
      <c r="B18" s="484" t="s">
        <v>652</v>
      </c>
      <c r="C18" s="485" t="s">
        <v>650</v>
      </c>
      <c r="D18" s="486">
        <v>2574898</v>
      </c>
      <c r="E18" s="486">
        <f>979850</f>
        <v>979850</v>
      </c>
      <c r="F18" s="486">
        <v>2329000</v>
      </c>
      <c r="G18" s="486">
        <f t="shared" si="3"/>
        <v>1349150</v>
      </c>
      <c r="H18" s="486">
        <f>F18-E18</f>
        <v>1349150</v>
      </c>
      <c r="I18" s="486"/>
      <c r="J18" s="486">
        <f t="shared" si="4"/>
        <v>378963</v>
      </c>
      <c r="K18" s="486">
        <v>378963</v>
      </c>
      <c r="L18" s="487"/>
      <c r="M18" s="486">
        <f>K18/G18*100</f>
        <v>28.0890190119705</v>
      </c>
      <c r="N18" s="486">
        <f t="shared" si="5"/>
        <v>378963</v>
      </c>
      <c r="O18" s="486">
        <f t="shared" si="6"/>
        <v>970187</v>
      </c>
      <c r="P18" s="486">
        <f>G18-N18</f>
        <v>970187</v>
      </c>
      <c r="Q18" s="487"/>
      <c r="R18" s="487"/>
      <c r="S18" s="487"/>
      <c r="T18" s="487"/>
      <c r="U18" s="487"/>
      <c r="V18" s="487"/>
      <c r="W18" s="487"/>
      <c r="X18" s="487"/>
      <c r="Y18" s="487"/>
      <c r="Z18" s="487"/>
      <c r="AA18" s="487"/>
      <c r="AB18" s="487"/>
      <c r="AC18" s="487"/>
      <c r="AD18" s="487"/>
      <c r="AE18" s="487"/>
      <c r="AF18" s="487"/>
      <c r="AG18" s="487"/>
      <c r="AH18" s="487"/>
      <c r="AI18" s="487"/>
      <c r="AJ18" s="487"/>
      <c r="AK18" s="487"/>
      <c r="AL18" s="487"/>
      <c r="AM18" s="487"/>
      <c r="AN18" s="487"/>
      <c r="AO18" s="487"/>
      <c r="AP18" s="487"/>
      <c r="AQ18" s="514" t="s">
        <v>688</v>
      </c>
      <c r="AR18" s="483" t="s">
        <v>685</v>
      </c>
      <c r="AS18" s="483" t="s">
        <v>686</v>
      </c>
      <c r="AT18" s="487"/>
      <c r="AU18" s="487"/>
      <c r="AV18" s="487"/>
    </row>
    <row r="19" spans="1:55" s="516" customFormat="1" ht="98.25" customHeight="1">
      <c r="A19" s="483">
        <v>4</v>
      </c>
      <c r="B19" s="484" t="s">
        <v>653</v>
      </c>
      <c r="C19" s="485" t="s">
        <v>650</v>
      </c>
      <c r="D19" s="486">
        <v>1165036</v>
      </c>
      <c r="E19" s="486">
        <f>962090</f>
        <v>962090</v>
      </c>
      <c r="F19" s="486">
        <v>1092000</v>
      </c>
      <c r="G19" s="486">
        <f t="shared" si="3"/>
        <v>129910</v>
      </c>
      <c r="H19" s="486">
        <f t="shared" ref="H19:H24" si="8">F19-E19</f>
        <v>129910</v>
      </c>
      <c r="I19" s="486"/>
      <c r="J19" s="486">
        <f t="shared" si="4"/>
        <v>0</v>
      </c>
      <c r="K19" s="486"/>
      <c r="L19" s="487"/>
      <c r="M19" s="486">
        <f t="shared" ref="M19:M24" si="9">K19/G19*100</f>
        <v>0</v>
      </c>
      <c r="N19" s="486">
        <f t="shared" si="5"/>
        <v>0</v>
      </c>
      <c r="O19" s="486">
        <f t="shared" si="6"/>
        <v>129910</v>
      </c>
      <c r="P19" s="486">
        <f t="shared" si="7"/>
        <v>129910</v>
      </c>
      <c r="Q19" s="487"/>
      <c r="R19" s="487"/>
      <c r="S19" s="487"/>
      <c r="T19" s="487"/>
      <c r="U19" s="487"/>
      <c r="V19" s="487"/>
      <c r="W19" s="487"/>
      <c r="X19" s="487"/>
      <c r="Y19" s="487"/>
      <c r="Z19" s="487"/>
      <c r="AA19" s="487"/>
      <c r="AB19" s="487"/>
      <c r="AC19" s="487"/>
      <c r="AD19" s="487"/>
      <c r="AE19" s="487"/>
      <c r="AF19" s="487"/>
      <c r="AG19" s="487"/>
      <c r="AH19" s="487"/>
      <c r="AI19" s="487"/>
      <c r="AJ19" s="487"/>
      <c r="AK19" s="487"/>
      <c r="AL19" s="487"/>
      <c r="AM19" s="487"/>
      <c r="AN19" s="487"/>
      <c r="AO19" s="487"/>
      <c r="AP19" s="487"/>
      <c r="AQ19" s="514" t="s">
        <v>689</v>
      </c>
      <c r="AR19" s="483" t="s">
        <v>685</v>
      </c>
      <c r="AS19" s="483" t="s">
        <v>685</v>
      </c>
      <c r="AT19" s="487"/>
      <c r="AU19" s="487"/>
      <c r="AV19" s="487"/>
    </row>
    <row r="20" spans="1:55" s="516" customFormat="1" ht="79.5" customHeight="1">
      <c r="A20" s="483">
        <v>5</v>
      </c>
      <c r="B20" s="484" t="s">
        <v>654</v>
      </c>
      <c r="C20" s="485" t="s">
        <v>650</v>
      </c>
      <c r="D20" s="486">
        <v>1475557</v>
      </c>
      <c r="E20" s="486">
        <v>1240108</v>
      </c>
      <c r="F20" s="486">
        <v>1367000</v>
      </c>
      <c r="G20" s="486">
        <f t="shared" si="3"/>
        <v>126892</v>
      </c>
      <c r="H20" s="486">
        <f t="shared" si="8"/>
        <v>126892</v>
      </c>
      <c r="I20" s="486"/>
      <c r="J20" s="486">
        <f t="shared" si="4"/>
        <v>0</v>
      </c>
      <c r="K20" s="486"/>
      <c r="L20" s="487"/>
      <c r="M20" s="486">
        <f t="shared" si="9"/>
        <v>0</v>
      </c>
      <c r="N20" s="486">
        <f t="shared" si="5"/>
        <v>0</v>
      </c>
      <c r="O20" s="486">
        <f t="shared" si="6"/>
        <v>126892</v>
      </c>
      <c r="P20" s="486">
        <f t="shared" si="7"/>
        <v>126892</v>
      </c>
      <c r="Q20" s="487"/>
      <c r="R20" s="487"/>
      <c r="S20" s="487"/>
      <c r="T20" s="487"/>
      <c r="U20" s="487"/>
      <c r="V20" s="487"/>
      <c r="W20" s="487"/>
      <c r="X20" s="487"/>
      <c r="Y20" s="487"/>
      <c r="Z20" s="487"/>
      <c r="AA20" s="487"/>
      <c r="AB20" s="487"/>
      <c r="AC20" s="487"/>
      <c r="AD20" s="487"/>
      <c r="AE20" s="487"/>
      <c r="AF20" s="487"/>
      <c r="AG20" s="487"/>
      <c r="AH20" s="487"/>
      <c r="AI20" s="487"/>
      <c r="AJ20" s="487"/>
      <c r="AK20" s="487"/>
      <c r="AL20" s="487"/>
      <c r="AM20" s="487"/>
      <c r="AN20" s="487"/>
      <c r="AO20" s="487"/>
      <c r="AP20" s="487"/>
      <c r="AQ20" s="514" t="s">
        <v>690</v>
      </c>
      <c r="AR20" s="483" t="s">
        <v>286</v>
      </c>
      <c r="AS20" s="515"/>
      <c r="AT20" s="487"/>
      <c r="AU20" s="487"/>
      <c r="AV20" s="487"/>
      <c r="BC20" s="516">
        <v>1</v>
      </c>
    </row>
    <row r="21" spans="1:55" s="516" customFormat="1" ht="124.5" customHeight="1">
      <c r="A21" s="483">
        <v>6</v>
      </c>
      <c r="B21" s="484" t="s">
        <v>655</v>
      </c>
      <c r="C21" s="485" t="s">
        <v>650</v>
      </c>
      <c r="D21" s="486">
        <v>938582</v>
      </c>
      <c r="E21" s="486">
        <v>641850</v>
      </c>
      <c r="F21" s="486">
        <v>778000</v>
      </c>
      <c r="G21" s="486">
        <f t="shared" si="3"/>
        <v>136150</v>
      </c>
      <c r="H21" s="486">
        <f t="shared" si="8"/>
        <v>136150</v>
      </c>
      <c r="I21" s="486"/>
      <c r="J21" s="486">
        <f t="shared" si="4"/>
        <v>0</v>
      </c>
      <c r="K21" s="486"/>
      <c r="L21" s="487"/>
      <c r="M21" s="486">
        <f t="shared" si="9"/>
        <v>0</v>
      </c>
      <c r="N21" s="486">
        <f t="shared" si="5"/>
        <v>0</v>
      </c>
      <c r="O21" s="486">
        <f t="shared" si="6"/>
        <v>136150</v>
      </c>
      <c r="P21" s="486">
        <f t="shared" si="7"/>
        <v>136150</v>
      </c>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514" t="s">
        <v>691</v>
      </c>
      <c r="AR21" s="483" t="s">
        <v>286</v>
      </c>
      <c r="AS21" s="515"/>
      <c r="AT21" s="487"/>
      <c r="AU21" s="487"/>
      <c r="AV21" s="487"/>
      <c r="BC21" s="516">
        <v>1</v>
      </c>
    </row>
    <row r="22" spans="1:55" s="516" customFormat="1" ht="81" customHeight="1">
      <c r="A22" s="483">
        <v>7</v>
      </c>
      <c r="B22" s="484" t="s">
        <v>656</v>
      </c>
      <c r="C22" s="485" t="s">
        <v>650</v>
      </c>
      <c r="D22" s="486">
        <v>2554894</v>
      </c>
      <c r="E22" s="486">
        <f>1700401</f>
        <v>1700401</v>
      </c>
      <c r="F22" s="486">
        <v>2309000</v>
      </c>
      <c r="G22" s="486">
        <f t="shared" si="3"/>
        <v>608599</v>
      </c>
      <c r="H22" s="486">
        <f t="shared" si="8"/>
        <v>608599</v>
      </c>
      <c r="I22" s="486"/>
      <c r="J22" s="486">
        <f t="shared" si="4"/>
        <v>433888</v>
      </c>
      <c r="K22" s="486">
        <v>433888</v>
      </c>
      <c r="L22" s="487"/>
      <c r="M22" s="486">
        <f>K22/G22*100</f>
        <v>71.292920297272929</v>
      </c>
      <c r="N22" s="486">
        <f t="shared" si="5"/>
        <v>433888</v>
      </c>
      <c r="O22" s="486">
        <f t="shared" si="6"/>
        <v>608599</v>
      </c>
      <c r="P22" s="486">
        <f t="shared" si="7"/>
        <v>608599</v>
      </c>
      <c r="Q22" s="487"/>
      <c r="R22" s="487"/>
      <c r="S22" s="487"/>
      <c r="T22" s="487"/>
      <c r="U22" s="487"/>
      <c r="V22" s="487"/>
      <c r="W22" s="487"/>
      <c r="X22" s="487"/>
      <c r="Y22" s="487"/>
      <c r="Z22" s="487"/>
      <c r="AA22" s="487"/>
      <c r="AB22" s="487"/>
      <c r="AC22" s="487"/>
      <c r="AD22" s="487"/>
      <c r="AE22" s="487"/>
      <c r="AF22" s="487"/>
      <c r="AG22" s="487"/>
      <c r="AH22" s="487"/>
      <c r="AI22" s="487"/>
      <c r="AJ22" s="487"/>
      <c r="AK22" s="487"/>
      <c r="AL22" s="487"/>
      <c r="AM22" s="487"/>
      <c r="AN22" s="487"/>
      <c r="AO22" s="487"/>
      <c r="AP22" s="487"/>
      <c r="AQ22" s="514" t="s">
        <v>692</v>
      </c>
      <c r="AR22" s="483" t="s">
        <v>286</v>
      </c>
      <c r="AS22" s="515"/>
      <c r="AT22" s="487"/>
      <c r="AU22" s="487"/>
      <c r="AV22" s="487"/>
      <c r="BC22" s="516">
        <v>1</v>
      </c>
    </row>
    <row r="23" spans="1:55" s="516" customFormat="1" ht="70.5" customHeight="1">
      <c r="A23" s="483">
        <v>8</v>
      </c>
      <c r="B23" s="484" t="s">
        <v>657</v>
      </c>
      <c r="C23" s="485" t="s">
        <v>650</v>
      </c>
      <c r="D23" s="486">
        <v>1353244</v>
      </c>
      <c r="E23" s="486">
        <v>939106</v>
      </c>
      <c r="F23" s="486">
        <v>1131000</v>
      </c>
      <c r="G23" s="486">
        <f t="shared" si="3"/>
        <v>191894</v>
      </c>
      <c r="H23" s="486">
        <f t="shared" si="8"/>
        <v>191894</v>
      </c>
      <c r="I23" s="486"/>
      <c r="J23" s="486">
        <f t="shared" si="4"/>
        <v>0</v>
      </c>
      <c r="K23" s="487"/>
      <c r="L23" s="487"/>
      <c r="M23" s="486">
        <f t="shared" si="9"/>
        <v>0</v>
      </c>
      <c r="N23" s="486">
        <f t="shared" si="5"/>
        <v>0</v>
      </c>
      <c r="O23" s="486">
        <f t="shared" si="6"/>
        <v>191894</v>
      </c>
      <c r="P23" s="486">
        <f t="shared" si="7"/>
        <v>191894</v>
      </c>
      <c r="Q23" s="487"/>
      <c r="R23" s="487"/>
      <c r="S23" s="487"/>
      <c r="T23" s="487"/>
      <c r="U23" s="487"/>
      <c r="V23" s="487"/>
      <c r="W23" s="487"/>
      <c r="X23" s="487"/>
      <c r="Y23" s="487"/>
      <c r="Z23" s="487"/>
      <c r="AA23" s="487"/>
      <c r="AB23" s="487"/>
      <c r="AC23" s="487"/>
      <c r="AD23" s="487"/>
      <c r="AE23" s="487"/>
      <c r="AF23" s="487"/>
      <c r="AG23" s="487"/>
      <c r="AH23" s="487"/>
      <c r="AI23" s="487"/>
      <c r="AJ23" s="487"/>
      <c r="AK23" s="487"/>
      <c r="AL23" s="487"/>
      <c r="AM23" s="487"/>
      <c r="AN23" s="487"/>
      <c r="AO23" s="487"/>
      <c r="AP23" s="487"/>
      <c r="AQ23" s="514" t="s">
        <v>693</v>
      </c>
      <c r="AR23" s="483" t="s">
        <v>286</v>
      </c>
      <c r="AS23" s="515"/>
      <c r="AT23" s="487"/>
      <c r="AU23" s="487"/>
      <c r="AV23" s="487"/>
      <c r="BC23" s="516">
        <v>1</v>
      </c>
    </row>
    <row r="24" spans="1:55" s="516" customFormat="1" ht="45.75" customHeight="1">
      <c r="A24" s="483">
        <v>9</v>
      </c>
      <c r="B24" s="484" t="s">
        <v>658</v>
      </c>
      <c r="C24" s="485" t="s">
        <v>650</v>
      </c>
      <c r="D24" s="486">
        <v>150000</v>
      </c>
      <c r="E24" s="486">
        <v>117429</v>
      </c>
      <c r="F24" s="486">
        <v>120000</v>
      </c>
      <c r="G24" s="486">
        <f t="shared" si="3"/>
        <v>2571</v>
      </c>
      <c r="H24" s="486">
        <f t="shared" si="8"/>
        <v>2571</v>
      </c>
      <c r="I24" s="486"/>
      <c r="J24" s="486">
        <f t="shared" si="4"/>
        <v>0</v>
      </c>
      <c r="K24" s="487"/>
      <c r="L24" s="487"/>
      <c r="M24" s="486">
        <f t="shared" si="9"/>
        <v>0</v>
      </c>
      <c r="N24" s="486">
        <f t="shared" si="5"/>
        <v>0</v>
      </c>
      <c r="O24" s="486">
        <f t="shared" si="6"/>
        <v>2571</v>
      </c>
      <c r="P24" s="486">
        <f t="shared" si="7"/>
        <v>2571</v>
      </c>
      <c r="Q24" s="487"/>
      <c r="R24" s="487"/>
      <c r="S24" s="487"/>
      <c r="T24" s="487"/>
      <c r="U24" s="487"/>
      <c r="V24" s="487"/>
      <c r="W24" s="487"/>
      <c r="X24" s="487"/>
      <c r="Y24" s="487"/>
      <c r="Z24" s="487"/>
      <c r="AA24" s="487"/>
      <c r="AB24" s="487"/>
      <c r="AC24" s="487"/>
      <c r="AD24" s="487"/>
      <c r="AE24" s="487"/>
      <c r="AF24" s="487"/>
      <c r="AG24" s="487"/>
      <c r="AH24" s="487"/>
      <c r="AI24" s="487"/>
      <c r="AJ24" s="487"/>
      <c r="AK24" s="487"/>
      <c r="AL24" s="487"/>
      <c r="AM24" s="487"/>
      <c r="AN24" s="487"/>
      <c r="AO24" s="487"/>
      <c r="AP24" s="487"/>
      <c r="AQ24" s="514" t="s">
        <v>694</v>
      </c>
      <c r="AR24" s="483" t="s">
        <v>286</v>
      </c>
      <c r="AS24" s="515"/>
      <c r="AT24" s="487"/>
      <c r="AU24" s="487"/>
      <c r="AV24" s="487"/>
      <c r="BC24" s="516">
        <v>1</v>
      </c>
    </row>
    <row r="25" spans="1:55" ht="45">
      <c r="A25" s="483">
        <v>10</v>
      </c>
      <c r="B25" s="489" t="s">
        <v>659</v>
      </c>
      <c r="C25" s="485" t="s">
        <v>650</v>
      </c>
      <c r="D25" s="486">
        <v>2189000</v>
      </c>
      <c r="E25" s="490">
        <v>783445</v>
      </c>
      <c r="F25" s="491">
        <v>2029000</v>
      </c>
      <c r="G25" s="486">
        <f t="shared" si="3"/>
        <v>1245555</v>
      </c>
      <c r="H25" s="486">
        <f>F25-E25</f>
        <v>1245555</v>
      </c>
      <c r="I25" s="486"/>
      <c r="J25" s="486">
        <f t="shared" si="4"/>
        <v>0</v>
      </c>
      <c r="K25" s="487"/>
      <c r="L25" s="487"/>
      <c r="M25" s="486">
        <f>K25/G25*100</f>
        <v>0</v>
      </c>
      <c r="N25" s="487"/>
      <c r="O25" s="486">
        <f>P25+Q25</f>
        <v>1245555</v>
      </c>
      <c r="P25" s="486">
        <f t="shared" si="7"/>
        <v>1245555</v>
      </c>
      <c r="Q25" s="487"/>
      <c r="R25" s="487"/>
      <c r="S25" s="487"/>
      <c r="T25" s="487"/>
      <c r="U25" s="487"/>
      <c r="V25" s="487"/>
      <c r="W25" s="487"/>
      <c r="X25" s="487"/>
      <c r="Y25" s="487"/>
      <c r="Z25" s="487"/>
      <c r="AA25" s="487"/>
      <c r="AB25" s="487"/>
      <c r="AC25" s="487"/>
      <c r="AD25" s="487"/>
      <c r="AE25" s="487"/>
      <c r="AF25" s="487"/>
      <c r="AG25" s="487"/>
      <c r="AH25" s="487"/>
      <c r="AI25" s="487"/>
      <c r="AJ25" s="487"/>
      <c r="AK25" s="487"/>
      <c r="AL25" s="487"/>
      <c r="AM25" s="487"/>
      <c r="AN25" s="487"/>
      <c r="AO25" s="487"/>
      <c r="AP25" s="487"/>
      <c r="AQ25" s="514" t="s">
        <v>695</v>
      </c>
      <c r="AR25" s="483" t="s">
        <v>696</v>
      </c>
      <c r="AS25" s="483" t="s">
        <v>697</v>
      </c>
      <c r="AT25" s="483" t="s">
        <v>698</v>
      </c>
      <c r="AU25" s="487"/>
      <c r="AV25" s="487"/>
    </row>
    <row r="26" spans="1:55" ht="71.25" customHeight="1">
      <c r="A26" s="483">
        <v>11</v>
      </c>
      <c r="B26" s="488" t="s">
        <v>660</v>
      </c>
      <c r="C26" s="485" t="s">
        <v>650</v>
      </c>
      <c r="D26" s="486">
        <v>703000</v>
      </c>
      <c r="E26" s="490">
        <v>572848</v>
      </c>
      <c r="F26" s="491">
        <v>629000</v>
      </c>
      <c r="G26" s="486">
        <f t="shared" si="3"/>
        <v>56152</v>
      </c>
      <c r="H26" s="486">
        <f>F26-E26</f>
        <v>56152</v>
      </c>
      <c r="I26" s="486"/>
      <c r="J26" s="486">
        <f t="shared" si="4"/>
        <v>0</v>
      </c>
      <c r="K26" s="487"/>
      <c r="L26" s="487"/>
      <c r="M26" s="486">
        <f>K26/G26*100</f>
        <v>0</v>
      </c>
      <c r="N26" s="487"/>
      <c r="O26" s="486">
        <f t="shared" ref="O26:O43" si="10">P26+Q26</f>
        <v>56152</v>
      </c>
      <c r="P26" s="486">
        <f t="shared" si="7"/>
        <v>56152</v>
      </c>
      <c r="Q26" s="487"/>
      <c r="R26" s="487"/>
      <c r="S26" s="487"/>
      <c r="T26" s="487"/>
      <c r="U26" s="487"/>
      <c r="V26" s="487"/>
      <c r="W26" s="487"/>
      <c r="X26" s="487"/>
      <c r="Y26" s="487"/>
      <c r="Z26" s="487"/>
      <c r="AA26" s="487"/>
      <c r="AB26" s="487"/>
      <c r="AC26" s="487"/>
      <c r="AD26" s="487"/>
      <c r="AE26" s="487"/>
      <c r="AF26" s="487"/>
      <c r="AG26" s="487"/>
      <c r="AH26" s="487"/>
      <c r="AI26" s="487"/>
      <c r="AJ26" s="487"/>
      <c r="AK26" s="487"/>
      <c r="AL26" s="487"/>
      <c r="AM26" s="487"/>
      <c r="AN26" s="487"/>
      <c r="AO26" s="487"/>
      <c r="AP26" s="487"/>
      <c r="AQ26" s="514" t="s">
        <v>699</v>
      </c>
      <c r="AR26" s="483" t="s">
        <v>286</v>
      </c>
      <c r="AS26" s="515"/>
      <c r="AT26" s="487"/>
      <c r="AU26" s="487"/>
      <c r="AV26" s="487"/>
      <c r="BC26" s="500">
        <v>1</v>
      </c>
    </row>
    <row r="27" spans="1:55" ht="83.25" customHeight="1">
      <c r="A27" s="483">
        <v>12</v>
      </c>
      <c r="B27" s="484" t="s">
        <v>661</v>
      </c>
      <c r="C27" s="485" t="s">
        <v>650</v>
      </c>
      <c r="D27" s="486">
        <v>3029000</v>
      </c>
      <c r="E27" s="490">
        <v>1117228</v>
      </c>
      <c r="F27" s="491">
        <v>2514000</v>
      </c>
      <c r="G27" s="486">
        <f t="shared" si="3"/>
        <v>1396772</v>
      </c>
      <c r="H27" s="486">
        <f t="shared" ref="H27:H37" si="11">F27-E27</f>
        <v>1396772</v>
      </c>
      <c r="I27" s="486"/>
      <c r="J27" s="486">
        <f t="shared" si="4"/>
        <v>533000</v>
      </c>
      <c r="K27" s="486">
        <v>533000</v>
      </c>
      <c r="L27" s="487"/>
      <c r="M27" s="486">
        <f>K27/G27*100</f>
        <v>38.159413275752954</v>
      </c>
      <c r="N27" s="487"/>
      <c r="O27" s="486">
        <f t="shared" si="10"/>
        <v>1396772</v>
      </c>
      <c r="P27" s="486">
        <f t="shared" si="7"/>
        <v>1396772</v>
      </c>
      <c r="Q27" s="487"/>
      <c r="R27" s="487"/>
      <c r="S27" s="487"/>
      <c r="T27" s="487"/>
      <c r="U27" s="487"/>
      <c r="V27" s="487"/>
      <c r="W27" s="487"/>
      <c r="X27" s="487"/>
      <c r="Y27" s="487"/>
      <c r="Z27" s="487"/>
      <c r="AA27" s="487"/>
      <c r="AB27" s="487"/>
      <c r="AC27" s="487"/>
      <c r="AD27" s="487"/>
      <c r="AE27" s="487"/>
      <c r="AF27" s="487"/>
      <c r="AG27" s="487"/>
      <c r="AH27" s="487"/>
      <c r="AI27" s="487"/>
      <c r="AJ27" s="487"/>
      <c r="AK27" s="487"/>
      <c r="AL27" s="487"/>
      <c r="AM27" s="487"/>
      <c r="AN27" s="487"/>
      <c r="AO27" s="487"/>
      <c r="AP27" s="487"/>
      <c r="AQ27" s="514" t="s">
        <v>700</v>
      </c>
      <c r="AR27" s="483" t="s">
        <v>696</v>
      </c>
      <c r="AS27" s="483" t="s">
        <v>697</v>
      </c>
      <c r="AT27" s="483" t="s">
        <v>698</v>
      </c>
      <c r="AU27" s="487"/>
      <c r="AV27" s="487"/>
    </row>
    <row r="28" spans="1:55" ht="69.75" customHeight="1">
      <c r="A28" s="483">
        <v>13</v>
      </c>
      <c r="B28" s="484" t="s">
        <v>662</v>
      </c>
      <c r="C28" s="485" t="s">
        <v>650</v>
      </c>
      <c r="D28" s="486">
        <v>526000</v>
      </c>
      <c r="E28" s="490">
        <v>459759</v>
      </c>
      <c r="F28" s="491">
        <v>466000</v>
      </c>
      <c r="G28" s="486">
        <f>H28+I28</f>
        <v>6241</v>
      </c>
      <c r="H28" s="486">
        <f t="shared" si="11"/>
        <v>6241</v>
      </c>
      <c r="I28" s="486"/>
      <c r="J28" s="486">
        <f t="shared" si="4"/>
        <v>0</v>
      </c>
      <c r="K28" s="486"/>
      <c r="L28" s="487"/>
      <c r="M28" s="486">
        <f t="shared" ref="M28:M43" si="12">K28/G28*100</f>
        <v>0</v>
      </c>
      <c r="N28" s="487"/>
      <c r="O28" s="486">
        <f t="shared" si="10"/>
        <v>6241</v>
      </c>
      <c r="P28" s="486">
        <f t="shared" si="7"/>
        <v>6241</v>
      </c>
      <c r="Q28" s="487"/>
      <c r="R28" s="487"/>
      <c r="S28" s="487"/>
      <c r="T28" s="487"/>
      <c r="U28" s="487"/>
      <c r="V28" s="487"/>
      <c r="W28" s="487"/>
      <c r="X28" s="487"/>
      <c r="Y28" s="487"/>
      <c r="Z28" s="487"/>
      <c r="AA28" s="487"/>
      <c r="AB28" s="487"/>
      <c r="AC28" s="487"/>
      <c r="AD28" s="487"/>
      <c r="AE28" s="487"/>
      <c r="AF28" s="487"/>
      <c r="AG28" s="487"/>
      <c r="AH28" s="487"/>
      <c r="AI28" s="487"/>
      <c r="AJ28" s="487"/>
      <c r="AK28" s="487"/>
      <c r="AL28" s="487"/>
      <c r="AM28" s="487"/>
      <c r="AN28" s="487"/>
      <c r="AO28" s="487"/>
      <c r="AP28" s="487"/>
      <c r="AQ28" s="514" t="s">
        <v>701</v>
      </c>
      <c r="AR28" s="483" t="s">
        <v>286</v>
      </c>
      <c r="AS28" s="515"/>
      <c r="AT28" s="487"/>
      <c r="AU28" s="487"/>
      <c r="AV28" s="487"/>
      <c r="BC28" s="500">
        <v>1</v>
      </c>
    </row>
    <row r="29" spans="1:55" ht="51.75" customHeight="1">
      <c r="A29" s="483">
        <v>14</v>
      </c>
      <c r="B29" s="484" t="s">
        <v>663</v>
      </c>
      <c r="C29" s="485" t="s">
        <v>650</v>
      </c>
      <c r="D29" s="486">
        <v>1555000</v>
      </c>
      <c r="E29" s="490">
        <v>599980</v>
      </c>
      <c r="F29" s="491">
        <v>1481000</v>
      </c>
      <c r="G29" s="486">
        <f t="shared" si="3"/>
        <v>881020</v>
      </c>
      <c r="H29" s="486">
        <f t="shared" si="11"/>
        <v>881020</v>
      </c>
      <c r="I29" s="486"/>
      <c r="J29" s="486">
        <f t="shared" si="4"/>
        <v>0</v>
      </c>
      <c r="K29" s="486"/>
      <c r="L29" s="487"/>
      <c r="M29" s="486">
        <f t="shared" si="12"/>
        <v>0</v>
      </c>
      <c r="N29" s="487"/>
      <c r="O29" s="486">
        <f t="shared" si="10"/>
        <v>881020</v>
      </c>
      <c r="P29" s="486">
        <f t="shared" si="7"/>
        <v>881020</v>
      </c>
      <c r="Q29" s="487"/>
      <c r="R29" s="487"/>
      <c r="S29" s="487"/>
      <c r="T29" s="487"/>
      <c r="U29" s="487"/>
      <c r="V29" s="487"/>
      <c r="W29" s="487"/>
      <c r="X29" s="487"/>
      <c r="Y29" s="487"/>
      <c r="Z29" s="487"/>
      <c r="AA29" s="487"/>
      <c r="AB29" s="487"/>
      <c r="AC29" s="487"/>
      <c r="AD29" s="487"/>
      <c r="AE29" s="487"/>
      <c r="AF29" s="487"/>
      <c r="AG29" s="487"/>
      <c r="AH29" s="487"/>
      <c r="AI29" s="487"/>
      <c r="AJ29" s="487"/>
      <c r="AK29" s="487"/>
      <c r="AL29" s="487"/>
      <c r="AM29" s="487"/>
      <c r="AN29" s="487"/>
      <c r="AO29" s="487"/>
      <c r="AP29" s="487"/>
      <c r="AQ29" s="514" t="s">
        <v>702</v>
      </c>
      <c r="AR29" s="483" t="s">
        <v>696</v>
      </c>
      <c r="AS29" s="483" t="s">
        <v>697</v>
      </c>
      <c r="AT29" s="483" t="s">
        <v>698</v>
      </c>
      <c r="AU29" s="487"/>
      <c r="AV29" s="487"/>
    </row>
    <row r="30" spans="1:55" ht="51.75" customHeight="1">
      <c r="A30" s="483">
        <v>15</v>
      </c>
      <c r="B30" s="484" t="s">
        <v>664</v>
      </c>
      <c r="C30" s="485" t="s">
        <v>650</v>
      </c>
      <c r="D30" s="486">
        <v>1006000</v>
      </c>
      <c r="E30" s="490">
        <v>849880</v>
      </c>
      <c r="F30" s="491">
        <v>904000</v>
      </c>
      <c r="G30" s="486">
        <f t="shared" si="3"/>
        <v>54120</v>
      </c>
      <c r="H30" s="486">
        <f t="shared" si="11"/>
        <v>54120</v>
      </c>
      <c r="I30" s="486"/>
      <c r="J30" s="486">
        <f t="shared" si="4"/>
        <v>0</v>
      </c>
      <c r="K30" s="486"/>
      <c r="L30" s="487"/>
      <c r="M30" s="486">
        <f t="shared" si="12"/>
        <v>0</v>
      </c>
      <c r="N30" s="487"/>
      <c r="O30" s="486">
        <f t="shared" si="10"/>
        <v>54120</v>
      </c>
      <c r="P30" s="486">
        <f t="shared" si="7"/>
        <v>54120</v>
      </c>
      <c r="Q30" s="487"/>
      <c r="R30" s="487"/>
      <c r="S30" s="487"/>
      <c r="T30" s="487"/>
      <c r="U30" s="487"/>
      <c r="V30" s="487"/>
      <c r="W30" s="487"/>
      <c r="X30" s="487"/>
      <c r="Y30" s="487"/>
      <c r="Z30" s="487"/>
      <c r="AA30" s="487"/>
      <c r="AB30" s="487"/>
      <c r="AC30" s="487"/>
      <c r="AD30" s="487"/>
      <c r="AE30" s="487"/>
      <c r="AF30" s="487"/>
      <c r="AG30" s="487"/>
      <c r="AH30" s="487"/>
      <c r="AI30" s="487"/>
      <c r="AJ30" s="487"/>
      <c r="AK30" s="487"/>
      <c r="AL30" s="487"/>
      <c r="AM30" s="487"/>
      <c r="AN30" s="487"/>
      <c r="AO30" s="487"/>
      <c r="AP30" s="487"/>
      <c r="AQ30" s="517" t="s">
        <v>703</v>
      </c>
      <c r="AR30" s="483" t="s">
        <v>286</v>
      </c>
      <c r="AS30" s="515"/>
      <c r="AT30" s="487"/>
      <c r="AU30" s="487"/>
      <c r="AV30" s="487"/>
      <c r="BC30" s="500">
        <v>1</v>
      </c>
    </row>
    <row r="31" spans="1:55" ht="64.5" customHeight="1">
      <c r="A31" s="483">
        <v>16</v>
      </c>
      <c r="B31" s="488" t="s">
        <v>665</v>
      </c>
      <c r="C31" s="485" t="s">
        <v>650</v>
      </c>
      <c r="D31" s="486">
        <v>1078000</v>
      </c>
      <c r="E31" s="490">
        <v>876601</v>
      </c>
      <c r="F31" s="492">
        <v>997000</v>
      </c>
      <c r="G31" s="486">
        <f t="shared" si="3"/>
        <v>120399</v>
      </c>
      <c r="H31" s="486">
        <f t="shared" si="11"/>
        <v>120399</v>
      </c>
      <c r="I31" s="486"/>
      <c r="J31" s="486">
        <f t="shared" si="4"/>
        <v>0</v>
      </c>
      <c r="K31" s="486"/>
      <c r="L31" s="487"/>
      <c r="M31" s="486">
        <f t="shared" si="12"/>
        <v>0</v>
      </c>
      <c r="N31" s="487"/>
      <c r="O31" s="486">
        <f t="shared" si="10"/>
        <v>120399</v>
      </c>
      <c r="P31" s="486">
        <f t="shared" si="7"/>
        <v>120399</v>
      </c>
      <c r="Q31" s="487"/>
      <c r="R31" s="487"/>
      <c r="S31" s="487"/>
      <c r="T31" s="487"/>
      <c r="U31" s="487"/>
      <c r="V31" s="487"/>
      <c r="W31" s="487"/>
      <c r="X31" s="487"/>
      <c r="Y31" s="487"/>
      <c r="Z31" s="487"/>
      <c r="AA31" s="487"/>
      <c r="AB31" s="487"/>
      <c r="AC31" s="487"/>
      <c r="AD31" s="487"/>
      <c r="AE31" s="487"/>
      <c r="AF31" s="487"/>
      <c r="AG31" s="487"/>
      <c r="AH31" s="487"/>
      <c r="AI31" s="487"/>
      <c r="AJ31" s="487"/>
      <c r="AK31" s="487"/>
      <c r="AL31" s="487"/>
      <c r="AM31" s="487"/>
      <c r="AN31" s="487"/>
      <c r="AO31" s="487"/>
      <c r="AP31" s="487"/>
      <c r="AQ31" s="517" t="s">
        <v>704</v>
      </c>
      <c r="AR31" s="483" t="s">
        <v>286</v>
      </c>
      <c r="AS31" s="515"/>
      <c r="AT31" s="487"/>
      <c r="AU31" s="487"/>
      <c r="AV31" s="487"/>
      <c r="BC31" s="500">
        <v>1</v>
      </c>
    </row>
    <row r="32" spans="1:55" ht="72" customHeight="1">
      <c r="A32" s="483">
        <v>17</v>
      </c>
      <c r="B32" s="488" t="s">
        <v>666</v>
      </c>
      <c r="C32" s="485" t="s">
        <v>650</v>
      </c>
      <c r="D32" s="486">
        <v>1076000</v>
      </c>
      <c r="E32" s="490">
        <v>903031</v>
      </c>
      <c r="F32" s="492">
        <v>980000</v>
      </c>
      <c r="G32" s="486">
        <f t="shared" si="3"/>
        <v>76969</v>
      </c>
      <c r="H32" s="486">
        <f t="shared" si="11"/>
        <v>76969</v>
      </c>
      <c r="I32" s="486"/>
      <c r="J32" s="486">
        <f t="shared" si="4"/>
        <v>0</v>
      </c>
      <c r="K32" s="487"/>
      <c r="L32" s="487"/>
      <c r="M32" s="486">
        <f t="shared" si="12"/>
        <v>0</v>
      </c>
      <c r="N32" s="487"/>
      <c r="O32" s="486">
        <f t="shared" si="10"/>
        <v>76969</v>
      </c>
      <c r="P32" s="486">
        <f t="shared" si="7"/>
        <v>76969</v>
      </c>
      <c r="Q32" s="487"/>
      <c r="R32" s="487"/>
      <c r="S32" s="487"/>
      <c r="T32" s="487"/>
      <c r="U32" s="487"/>
      <c r="V32" s="487"/>
      <c r="W32" s="487"/>
      <c r="X32" s="487"/>
      <c r="Y32" s="487"/>
      <c r="Z32" s="487"/>
      <c r="AA32" s="487"/>
      <c r="AB32" s="487"/>
      <c r="AC32" s="487"/>
      <c r="AD32" s="487"/>
      <c r="AE32" s="487"/>
      <c r="AF32" s="487"/>
      <c r="AG32" s="487"/>
      <c r="AH32" s="487"/>
      <c r="AI32" s="487"/>
      <c r="AJ32" s="487"/>
      <c r="AK32" s="487"/>
      <c r="AL32" s="487"/>
      <c r="AM32" s="487"/>
      <c r="AN32" s="487"/>
      <c r="AO32" s="487"/>
      <c r="AP32" s="487"/>
      <c r="AQ32" s="517" t="s">
        <v>705</v>
      </c>
      <c r="AR32" s="483" t="s">
        <v>286</v>
      </c>
      <c r="AS32" s="515"/>
      <c r="AT32" s="487"/>
      <c r="AU32" s="487"/>
      <c r="AV32" s="487"/>
      <c r="BC32" s="500">
        <v>1</v>
      </c>
    </row>
    <row r="33" spans="1:55" ht="45.75" customHeight="1">
      <c r="A33" s="483">
        <v>18</v>
      </c>
      <c r="B33" s="493" t="s">
        <v>667</v>
      </c>
      <c r="C33" s="485" t="s">
        <v>650</v>
      </c>
      <c r="D33" s="486">
        <v>881000</v>
      </c>
      <c r="E33" s="490">
        <v>718902</v>
      </c>
      <c r="F33" s="492">
        <v>721000</v>
      </c>
      <c r="G33" s="486">
        <f t="shared" si="3"/>
        <v>2098</v>
      </c>
      <c r="H33" s="486">
        <f t="shared" si="11"/>
        <v>2098</v>
      </c>
      <c r="I33" s="486"/>
      <c r="J33" s="486">
        <f t="shared" si="4"/>
        <v>0</v>
      </c>
      <c r="K33" s="487"/>
      <c r="L33" s="487"/>
      <c r="M33" s="486">
        <f t="shared" si="12"/>
        <v>0</v>
      </c>
      <c r="N33" s="487"/>
      <c r="O33" s="486">
        <f t="shared" si="10"/>
        <v>2098</v>
      </c>
      <c r="P33" s="486">
        <f t="shared" si="7"/>
        <v>2098</v>
      </c>
      <c r="Q33" s="487"/>
      <c r="R33" s="487"/>
      <c r="S33" s="487"/>
      <c r="T33" s="487"/>
      <c r="U33" s="487"/>
      <c r="V33" s="487"/>
      <c r="W33" s="487"/>
      <c r="X33" s="487"/>
      <c r="Y33" s="487"/>
      <c r="Z33" s="487"/>
      <c r="AA33" s="487"/>
      <c r="AB33" s="487"/>
      <c r="AC33" s="487"/>
      <c r="AD33" s="487"/>
      <c r="AE33" s="487"/>
      <c r="AF33" s="487"/>
      <c r="AG33" s="487"/>
      <c r="AH33" s="487"/>
      <c r="AI33" s="487"/>
      <c r="AJ33" s="487"/>
      <c r="AK33" s="487"/>
      <c r="AL33" s="487"/>
      <c r="AM33" s="487"/>
      <c r="AN33" s="487"/>
      <c r="AO33" s="487"/>
      <c r="AP33" s="487"/>
      <c r="AQ33" s="517" t="s">
        <v>706</v>
      </c>
      <c r="AR33" s="483" t="s">
        <v>286</v>
      </c>
      <c r="AS33" s="515"/>
      <c r="AT33" s="487"/>
      <c r="AU33" s="487"/>
      <c r="AV33" s="487"/>
      <c r="BC33" s="500">
        <v>1</v>
      </c>
    </row>
    <row r="34" spans="1:55" ht="30">
      <c r="A34" s="483">
        <v>19</v>
      </c>
      <c r="B34" s="493" t="s">
        <v>668</v>
      </c>
      <c r="C34" s="485" t="s">
        <v>650</v>
      </c>
      <c r="D34" s="486">
        <v>1027000</v>
      </c>
      <c r="E34" s="490">
        <v>877516</v>
      </c>
      <c r="F34" s="492">
        <v>937000</v>
      </c>
      <c r="G34" s="486">
        <f t="shared" si="3"/>
        <v>59484</v>
      </c>
      <c r="H34" s="486">
        <f t="shared" si="11"/>
        <v>59484</v>
      </c>
      <c r="I34" s="486"/>
      <c r="J34" s="486">
        <f t="shared" si="4"/>
        <v>0</v>
      </c>
      <c r="K34" s="487"/>
      <c r="L34" s="487"/>
      <c r="M34" s="486">
        <f t="shared" si="12"/>
        <v>0</v>
      </c>
      <c r="N34" s="487"/>
      <c r="O34" s="486">
        <f t="shared" si="10"/>
        <v>59484</v>
      </c>
      <c r="P34" s="486">
        <f t="shared" si="7"/>
        <v>59484</v>
      </c>
      <c r="Q34" s="487"/>
      <c r="R34" s="487"/>
      <c r="S34" s="487"/>
      <c r="T34" s="487"/>
      <c r="U34" s="487"/>
      <c r="V34" s="487"/>
      <c r="W34" s="487"/>
      <c r="X34" s="487"/>
      <c r="Y34" s="487"/>
      <c r="Z34" s="487"/>
      <c r="AA34" s="487"/>
      <c r="AB34" s="487"/>
      <c r="AC34" s="487"/>
      <c r="AD34" s="487"/>
      <c r="AE34" s="487"/>
      <c r="AF34" s="487"/>
      <c r="AG34" s="487"/>
      <c r="AH34" s="487"/>
      <c r="AI34" s="487"/>
      <c r="AJ34" s="487"/>
      <c r="AK34" s="487"/>
      <c r="AL34" s="487"/>
      <c r="AM34" s="487"/>
      <c r="AN34" s="487"/>
      <c r="AO34" s="487"/>
      <c r="AP34" s="487"/>
      <c r="AQ34" s="517" t="s">
        <v>707</v>
      </c>
      <c r="AR34" s="483" t="s">
        <v>286</v>
      </c>
      <c r="AS34" s="515"/>
      <c r="AT34" s="487"/>
      <c r="AU34" s="487"/>
      <c r="AV34" s="487"/>
      <c r="BC34" s="500">
        <v>1</v>
      </c>
    </row>
    <row r="35" spans="1:55" ht="45">
      <c r="A35" s="483">
        <v>20</v>
      </c>
      <c r="B35" s="493" t="s">
        <v>669</v>
      </c>
      <c r="C35" s="485" t="s">
        <v>650</v>
      </c>
      <c r="D35" s="486">
        <v>970000</v>
      </c>
      <c r="E35" s="490">
        <v>305791</v>
      </c>
      <c r="F35" s="492">
        <v>710000</v>
      </c>
      <c r="G35" s="486">
        <f t="shared" si="3"/>
        <v>404209</v>
      </c>
      <c r="H35" s="486">
        <f t="shared" si="11"/>
        <v>404209</v>
      </c>
      <c r="I35" s="486"/>
      <c r="J35" s="486">
        <f t="shared" si="4"/>
        <v>0</v>
      </c>
      <c r="K35" s="487"/>
      <c r="L35" s="487"/>
      <c r="M35" s="486">
        <f t="shared" si="12"/>
        <v>0</v>
      </c>
      <c r="N35" s="487"/>
      <c r="O35" s="486">
        <f t="shared" si="10"/>
        <v>404209</v>
      </c>
      <c r="P35" s="486">
        <f t="shared" si="7"/>
        <v>404209</v>
      </c>
      <c r="Q35" s="487"/>
      <c r="R35" s="487"/>
      <c r="S35" s="487"/>
      <c r="T35" s="487"/>
      <c r="U35" s="487"/>
      <c r="V35" s="487"/>
      <c r="W35" s="487"/>
      <c r="X35" s="487"/>
      <c r="Y35" s="487"/>
      <c r="Z35" s="487"/>
      <c r="AA35" s="487"/>
      <c r="AB35" s="487"/>
      <c r="AC35" s="487"/>
      <c r="AD35" s="487"/>
      <c r="AE35" s="487"/>
      <c r="AF35" s="487"/>
      <c r="AG35" s="487"/>
      <c r="AH35" s="487"/>
      <c r="AI35" s="487"/>
      <c r="AJ35" s="487"/>
      <c r="AK35" s="487"/>
      <c r="AL35" s="487"/>
      <c r="AM35" s="487"/>
      <c r="AN35" s="487"/>
      <c r="AO35" s="487"/>
      <c r="AP35" s="487"/>
      <c r="AQ35" s="517" t="s">
        <v>708</v>
      </c>
      <c r="AR35" s="483" t="s">
        <v>696</v>
      </c>
      <c r="AS35" s="483" t="s">
        <v>697</v>
      </c>
      <c r="AT35" s="483" t="s">
        <v>698</v>
      </c>
      <c r="AU35" s="487"/>
      <c r="AV35" s="487"/>
    </row>
    <row r="36" spans="1:55" ht="57.75" customHeight="1">
      <c r="A36" s="483">
        <v>21</v>
      </c>
      <c r="B36" s="493" t="s">
        <v>670</v>
      </c>
      <c r="C36" s="485" t="s">
        <v>650</v>
      </c>
      <c r="D36" s="486">
        <v>1346000</v>
      </c>
      <c r="E36" s="490">
        <v>1053001</v>
      </c>
      <c r="F36" s="492">
        <v>1126000</v>
      </c>
      <c r="G36" s="486">
        <f t="shared" si="3"/>
        <v>72999</v>
      </c>
      <c r="H36" s="486">
        <f t="shared" si="11"/>
        <v>72999</v>
      </c>
      <c r="I36" s="486"/>
      <c r="J36" s="486">
        <f t="shared" si="4"/>
        <v>0</v>
      </c>
      <c r="K36" s="487"/>
      <c r="L36" s="487"/>
      <c r="M36" s="486">
        <f t="shared" si="12"/>
        <v>0</v>
      </c>
      <c r="N36" s="487"/>
      <c r="O36" s="486">
        <f t="shared" si="10"/>
        <v>72999</v>
      </c>
      <c r="P36" s="486">
        <f t="shared" si="7"/>
        <v>72999</v>
      </c>
      <c r="Q36" s="487"/>
      <c r="R36" s="487"/>
      <c r="S36" s="487"/>
      <c r="T36" s="487"/>
      <c r="U36" s="487"/>
      <c r="V36" s="487"/>
      <c r="W36" s="487"/>
      <c r="X36" s="487"/>
      <c r="Y36" s="487"/>
      <c r="Z36" s="487"/>
      <c r="AA36" s="487"/>
      <c r="AB36" s="487"/>
      <c r="AC36" s="487"/>
      <c r="AD36" s="487"/>
      <c r="AE36" s="487"/>
      <c r="AF36" s="487"/>
      <c r="AG36" s="487"/>
      <c r="AH36" s="487"/>
      <c r="AI36" s="487"/>
      <c r="AJ36" s="487"/>
      <c r="AK36" s="487"/>
      <c r="AL36" s="487"/>
      <c r="AM36" s="487"/>
      <c r="AN36" s="487"/>
      <c r="AO36" s="487"/>
      <c r="AP36" s="487"/>
      <c r="AQ36" s="518" t="s">
        <v>709</v>
      </c>
      <c r="AR36" s="483" t="s">
        <v>286</v>
      </c>
      <c r="AS36" s="515"/>
      <c r="AT36" s="487"/>
      <c r="AU36" s="487"/>
      <c r="AV36" s="487"/>
      <c r="BC36" s="500">
        <v>1</v>
      </c>
    </row>
    <row r="37" spans="1:55" ht="61.5" customHeight="1">
      <c r="A37" s="483">
        <v>22</v>
      </c>
      <c r="B37" s="493" t="s">
        <v>671</v>
      </c>
      <c r="C37" s="485" t="s">
        <v>650</v>
      </c>
      <c r="D37" s="486">
        <v>1350444</v>
      </c>
      <c r="E37" s="490">
        <v>932657</v>
      </c>
      <c r="F37" s="486">
        <v>1200000</v>
      </c>
      <c r="G37" s="486">
        <f t="shared" si="3"/>
        <v>267343</v>
      </c>
      <c r="H37" s="486">
        <f t="shared" si="11"/>
        <v>267343</v>
      </c>
      <c r="I37" s="486"/>
      <c r="J37" s="486">
        <f t="shared" si="4"/>
        <v>0</v>
      </c>
      <c r="K37" s="487"/>
      <c r="L37" s="487"/>
      <c r="M37" s="486">
        <f t="shared" si="12"/>
        <v>0</v>
      </c>
      <c r="N37" s="487"/>
      <c r="O37" s="486">
        <f t="shared" si="10"/>
        <v>267343</v>
      </c>
      <c r="P37" s="486">
        <f t="shared" si="7"/>
        <v>267343</v>
      </c>
      <c r="Q37" s="487"/>
      <c r="R37" s="487"/>
      <c r="S37" s="487"/>
      <c r="T37" s="487"/>
      <c r="U37" s="487"/>
      <c r="V37" s="487"/>
      <c r="W37" s="487"/>
      <c r="X37" s="487"/>
      <c r="Y37" s="487"/>
      <c r="Z37" s="487"/>
      <c r="AA37" s="487"/>
      <c r="AB37" s="487"/>
      <c r="AC37" s="487"/>
      <c r="AD37" s="487"/>
      <c r="AE37" s="487"/>
      <c r="AF37" s="487"/>
      <c r="AG37" s="487"/>
      <c r="AH37" s="487"/>
      <c r="AI37" s="487"/>
      <c r="AJ37" s="487"/>
      <c r="AK37" s="487"/>
      <c r="AL37" s="487"/>
      <c r="AM37" s="487"/>
      <c r="AN37" s="487"/>
      <c r="AO37" s="487"/>
      <c r="AP37" s="487"/>
      <c r="AQ37" s="519" t="s">
        <v>710</v>
      </c>
      <c r="AR37" s="483" t="s">
        <v>286</v>
      </c>
      <c r="AS37" s="515"/>
      <c r="AT37" s="487"/>
      <c r="AU37" s="487"/>
      <c r="AV37" s="487"/>
      <c r="BC37" s="500">
        <v>1</v>
      </c>
    </row>
    <row r="38" spans="1:55" ht="45">
      <c r="A38" s="483">
        <v>23</v>
      </c>
      <c r="B38" s="484" t="s">
        <v>672</v>
      </c>
      <c r="C38" s="485" t="s">
        <v>650</v>
      </c>
      <c r="D38" s="486">
        <v>8593000</v>
      </c>
      <c r="E38" s="494">
        <v>2307000</v>
      </c>
      <c r="F38" s="486">
        <v>8593000</v>
      </c>
      <c r="G38" s="486">
        <f t="shared" si="3"/>
        <v>2903235</v>
      </c>
      <c r="H38" s="486">
        <v>2903235</v>
      </c>
      <c r="I38" s="495"/>
      <c r="J38" s="486">
        <f t="shared" si="4"/>
        <v>2520145</v>
      </c>
      <c r="K38" s="486">
        <v>2520145</v>
      </c>
      <c r="L38" s="495"/>
      <c r="M38" s="486">
        <f t="shared" si="12"/>
        <v>86.804719562832503</v>
      </c>
      <c r="N38" s="495"/>
      <c r="O38" s="486">
        <f t="shared" si="10"/>
        <v>383090</v>
      </c>
      <c r="P38" s="486">
        <f>G38-K38</f>
        <v>383090</v>
      </c>
      <c r="Q38" s="495"/>
      <c r="R38" s="495"/>
      <c r="S38" s="495"/>
      <c r="T38" s="495"/>
      <c r="U38" s="495"/>
      <c r="V38" s="495"/>
      <c r="W38" s="495"/>
      <c r="X38" s="495"/>
      <c r="Y38" s="495"/>
      <c r="Z38" s="495"/>
      <c r="AA38" s="495"/>
      <c r="AB38" s="495"/>
      <c r="AC38" s="495"/>
      <c r="AD38" s="495"/>
      <c r="AE38" s="495"/>
      <c r="AF38" s="495"/>
      <c r="AG38" s="495"/>
      <c r="AH38" s="495"/>
      <c r="AI38" s="495"/>
      <c r="AJ38" s="495"/>
      <c r="AK38" s="495"/>
      <c r="AL38" s="495"/>
      <c r="AM38" s="495"/>
      <c r="AN38" s="495"/>
      <c r="AO38" s="495"/>
      <c r="AP38" s="495"/>
      <c r="AQ38" s="518" t="s">
        <v>711</v>
      </c>
      <c r="AR38" s="483" t="s">
        <v>286</v>
      </c>
      <c r="AS38" s="515"/>
      <c r="AT38" s="520"/>
      <c r="AU38" s="520"/>
      <c r="AV38" s="520"/>
      <c r="BC38" s="500">
        <v>1</v>
      </c>
    </row>
    <row r="39" spans="1:55" ht="63" customHeight="1">
      <c r="A39" s="483">
        <v>24</v>
      </c>
      <c r="B39" s="484" t="s">
        <v>673</v>
      </c>
      <c r="C39" s="485" t="s">
        <v>650</v>
      </c>
      <c r="D39" s="486">
        <v>5669000</v>
      </c>
      <c r="E39" s="494">
        <v>2564000</v>
      </c>
      <c r="F39" s="486">
        <v>5669000</v>
      </c>
      <c r="G39" s="486">
        <f t="shared" si="3"/>
        <v>205653</v>
      </c>
      <c r="H39" s="486">
        <v>205653</v>
      </c>
      <c r="I39" s="495"/>
      <c r="J39" s="486">
        <f t="shared" si="4"/>
        <v>0</v>
      </c>
      <c r="K39" s="495"/>
      <c r="L39" s="495"/>
      <c r="M39" s="486">
        <f t="shared" si="12"/>
        <v>0</v>
      </c>
      <c r="N39" s="495"/>
      <c r="O39" s="486">
        <f t="shared" si="10"/>
        <v>205653</v>
      </c>
      <c r="P39" s="486">
        <f t="shared" si="7"/>
        <v>205653</v>
      </c>
      <c r="Q39" s="495"/>
      <c r="R39" s="495"/>
      <c r="S39" s="495"/>
      <c r="T39" s="495"/>
      <c r="U39" s="495"/>
      <c r="V39" s="495"/>
      <c r="W39" s="495"/>
      <c r="X39" s="495"/>
      <c r="Y39" s="495"/>
      <c r="Z39" s="495"/>
      <c r="AA39" s="495"/>
      <c r="AB39" s="495"/>
      <c r="AC39" s="495"/>
      <c r="AD39" s="495"/>
      <c r="AE39" s="495"/>
      <c r="AF39" s="495"/>
      <c r="AG39" s="495"/>
      <c r="AH39" s="495"/>
      <c r="AI39" s="495"/>
      <c r="AJ39" s="495"/>
      <c r="AK39" s="495"/>
      <c r="AL39" s="495"/>
      <c r="AM39" s="495"/>
      <c r="AN39" s="495"/>
      <c r="AO39" s="495"/>
      <c r="AP39" s="495"/>
      <c r="AQ39" s="518" t="s">
        <v>712</v>
      </c>
      <c r="AR39" s="483" t="s">
        <v>286</v>
      </c>
      <c r="AS39" s="515"/>
      <c r="AT39" s="520"/>
      <c r="AU39" s="520"/>
      <c r="AV39" s="520"/>
      <c r="BC39" s="500">
        <v>1</v>
      </c>
    </row>
    <row r="40" spans="1:55" ht="53.25" customHeight="1">
      <c r="A40" s="483">
        <v>25</v>
      </c>
      <c r="B40" s="484" t="s">
        <v>674</v>
      </c>
      <c r="C40" s="485" t="s">
        <v>650</v>
      </c>
      <c r="D40" s="486">
        <v>3204000</v>
      </c>
      <c r="E40" s="494">
        <v>1267000</v>
      </c>
      <c r="F40" s="486">
        <v>3204000</v>
      </c>
      <c r="G40" s="486">
        <f t="shared" si="3"/>
        <v>334651</v>
      </c>
      <c r="H40" s="486">
        <v>334651</v>
      </c>
      <c r="I40" s="495"/>
      <c r="J40" s="486">
        <f t="shared" si="4"/>
        <v>0</v>
      </c>
      <c r="K40" s="495"/>
      <c r="L40" s="495"/>
      <c r="M40" s="486">
        <f t="shared" si="12"/>
        <v>0</v>
      </c>
      <c r="N40" s="495"/>
      <c r="O40" s="486">
        <f t="shared" si="10"/>
        <v>334651</v>
      </c>
      <c r="P40" s="486">
        <f t="shared" si="7"/>
        <v>334651</v>
      </c>
      <c r="Q40" s="495"/>
      <c r="R40" s="495"/>
      <c r="S40" s="495"/>
      <c r="T40" s="495"/>
      <c r="U40" s="495"/>
      <c r="V40" s="495"/>
      <c r="W40" s="495"/>
      <c r="X40" s="495"/>
      <c r="Y40" s="495"/>
      <c r="Z40" s="495"/>
      <c r="AA40" s="495"/>
      <c r="AB40" s="495"/>
      <c r="AC40" s="495"/>
      <c r="AD40" s="495"/>
      <c r="AE40" s="495"/>
      <c r="AF40" s="495"/>
      <c r="AG40" s="495"/>
      <c r="AH40" s="495"/>
      <c r="AI40" s="495"/>
      <c r="AJ40" s="495"/>
      <c r="AK40" s="495"/>
      <c r="AL40" s="495"/>
      <c r="AM40" s="495"/>
      <c r="AN40" s="495"/>
      <c r="AO40" s="495"/>
      <c r="AP40" s="495"/>
      <c r="AQ40" s="518" t="s">
        <v>713</v>
      </c>
      <c r="AR40" s="483" t="s">
        <v>286</v>
      </c>
      <c r="AS40" s="515"/>
      <c r="AT40" s="520"/>
      <c r="AU40" s="520"/>
      <c r="AV40" s="520"/>
      <c r="BC40" s="500">
        <v>1</v>
      </c>
    </row>
    <row r="41" spans="1:55" ht="62.25" customHeight="1">
      <c r="A41" s="483">
        <v>26</v>
      </c>
      <c r="B41" s="484" t="s">
        <v>675</v>
      </c>
      <c r="C41" s="485" t="s">
        <v>650</v>
      </c>
      <c r="D41" s="486">
        <v>7436000</v>
      </c>
      <c r="E41" s="494">
        <v>3345000</v>
      </c>
      <c r="F41" s="486">
        <v>7436000</v>
      </c>
      <c r="G41" s="486">
        <f t="shared" si="3"/>
        <v>591221</v>
      </c>
      <c r="H41" s="486">
        <v>591221</v>
      </c>
      <c r="I41" s="495"/>
      <c r="J41" s="486">
        <f t="shared" si="4"/>
        <v>0</v>
      </c>
      <c r="K41" s="495"/>
      <c r="L41" s="495"/>
      <c r="M41" s="486">
        <f t="shared" si="12"/>
        <v>0</v>
      </c>
      <c r="N41" s="495"/>
      <c r="O41" s="486">
        <f t="shared" si="10"/>
        <v>591221</v>
      </c>
      <c r="P41" s="486">
        <f t="shared" si="7"/>
        <v>591221</v>
      </c>
      <c r="Q41" s="495"/>
      <c r="R41" s="495"/>
      <c r="S41" s="495"/>
      <c r="T41" s="495"/>
      <c r="U41" s="495"/>
      <c r="V41" s="495"/>
      <c r="W41" s="495"/>
      <c r="X41" s="495"/>
      <c r="Y41" s="495"/>
      <c r="Z41" s="495"/>
      <c r="AA41" s="495"/>
      <c r="AB41" s="495"/>
      <c r="AC41" s="495"/>
      <c r="AD41" s="495"/>
      <c r="AE41" s="495"/>
      <c r="AF41" s="495"/>
      <c r="AG41" s="495"/>
      <c r="AH41" s="495"/>
      <c r="AI41" s="495"/>
      <c r="AJ41" s="495"/>
      <c r="AK41" s="495"/>
      <c r="AL41" s="495"/>
      <c r="AM41" s="495"/>
      <c r="AN41" s="495"/>
      <c r="AO41" s="495"/>
      <c r="AP41" s="495"/>
      <c r="AQ41" s="518" t="s">
        <v>714</v>
      </c>
      <c r="AR41" s="483" t="s">
        <v>286</v>
      </c>
      <c r="AS41" s="515"/>
      <c r="AT41" s="520"/>
      <c r="AU41" s="520"/>
      <c r="AV41" s="520"/>
      <c r="BC41" s="500">
        <v>1</v>
      </c>
    </row>
    <row r="42" spans="1:55" ht="66.75" customHeight="1">
      <c r="A42" s="483">
        <v>27</v>
      </c>
      <c r="B42" s="484" t="s">
        <v>676</v>
      </c>
      <c r="C42" s="485" t="s">
        <v>650</v>
      </c>
      <c r="D42" s="486">
        <v>886000</v>
      </c>
      <c r="E42" s="494">
        <v>367830</v>
      </c>
      <c r="F42" s="486">
        <v>886000</v>
      </c>
      <c r="G42" s="486">
        <f t="shared" si="3"/>
        <v>75170</v>
      </c>
      <c r="H42" s="486">
        <v>75170</v>
      </c>
      <c r="I42" s="495"/>
      <c r="J42" s="486">
        <f t="shared" si="4"/>
        <v>0</v>
      </c>
      <c r="K42" s="495"/>
      <c r="L42" s="495"/>
      <c r="M42" s="486">
        <f t="shared" si="12"/>
        <v>0</v>
      </c>
      <c r="N42" s="495"/>
      <c r="O42" s="486">
        <f t="shared" si="10"/>
        <v>75170</v>
      </c>
      <c r="P42" s="486">
        <f t="shared" si="7"/>
        <v>75170</v>
      </c>
      <c r="Q42" s="495"/>
      <c r="R42" s="495"/>
      <c r="S42" s="495"/>
      <c r="T42" s="495"/>
      <c r="U42" s="495"/>
      <c r="V42" s="495"/>
      <c r="W42" s="495"/>
      <c r="X42" s="495"/>
      <c r="Y42" s="495"/>
      <c r="Z42" s="495"/>
      <c r="AA42" s="495"/>
      <c r="AB42" s="495"/>
      <c r="AC42" s="495"/>
      <c r="AD42" s="495"/>
      <c r="AE42" s="495"/>
      <c r="AF42" s="495"/>
      <c r="AG42" s="495"/>
      <c r="AH42" s="495"/>
      <c r="AI42" s="495"/>
      <c r="AJ42" s="495"/>
      <c r="AK42" s="495"/>
      <c r="AL42" s="495"/>
      <c r="AM42" s="495"/>
      <c r="AN42" s="495"/>
      <c r="AO42" s="495"/>
      <c r="AP42" s="495"/>
      <c r="AQ42" s="521" t="s">
        <v>715</v>
      </c>
      <c r="AR42" s="483" t="s">
        <v>286</v>
      </c>
      <c r="AS42" s="515"/>
      <c r="AT42" s="520"/>
      <c r="AU42" s="520"/>
      <c r="AV42" s="520"/>
      <c r="BC42" s="500">
        <v>1</v>
      </c>
    </row>
    <row r="43" spans="1:55" ht="77.25" customHeight="1">
      <c r="A43" s="483">
        <v>28</v>
      </c>
      <c r="B43" s="496" t="s">
        <v>677</v>
      </c>
      <c r="C43" s="497" t="s">
        <v>650</v>
      </c>
      <c r="D43" s="498">
        <v>1355000</v>
      </c>
      <c r="E43" s="498">
        <v>890511</v>
      </c>
      <c r="F43" s="498">
        <v>1355000</v>
      </c>
      <c r="G43" s="498">
        <f t="shared" si="3"/>
        <v>53489</v>
      </c>
      <c r="H43" s="498">
        <v>53489</v>
      </c>
      <c r="I43" s="499"/>
      <c r="J43" s="498">
        <f t="shared" si="4"/>
        <v>0</v>
      </c>
      <c r="K43" s="499"/>
      <c r="L43" s="499"/>
      <c r="M43" s="498">
        <f t="shared" si="12"/>
        <v>0</v>
      </c>
      <c r="N43" s="499"/>
      <c r="O43" s="498">
        <f t="shared" si="10"/>
        <v>53489</v>
      </c>
      <c r="P43" s="498">
        <f t="shared" si="7"/>
        <v>53489</v>
      </c>
      <c r="Q43" s="499"/>
      <c r="R43" s="499"/>
      <c r="S43" s="499"/>
      <c r="T43" s="499"/>
      <c r="U43" s="499"/>
      <c r="V43" s="499"/>
      <c r="W43" s="499"/>
      <c r="X43" s="499"/>
      <c r="Y43" s="499"/>
      <c r="Z43" s="499"/>
      <c r="AA43" s="499"/>
      <c r="AB43" s="499"/>
      <c r="AC43" s="499"/>
      <c r="AD43" s="499"/>
      <c r="AE43" s="499"/>
      <c r="AF43" s="499"/>
      <c r="AG43" s="499"/>
      <c r="AH43" s="499"/>
      <c r="AI43" s="499"/>
      <c r="AJ43" s="499"/>
      <c r="AK43" s="499"/>
      <c r="AL43" s="499"/>
      <c r="AM43" s="499"/>
      <c r="AN43" s="499"/>
      <c r="AO43" s="499"/>
      <c r="AP43" s="499"/>
      <c r="AQ43" s="522" t="s">
        <v>716</v>
      </c>
      <c r="AR43" s="523" t="s">
        <v>286</v>
      </c>
      <c r="AS43" s="524"/>
      <c r="AT43" s="525"/>
      <c r="AU43" s="525"/>
      <c r="AV43" s="525"/>
      <c r="BC43" s="500">
        <v>1</v>
      </c>
    </row>
    <row r="44" spans="1:55">
      <c r="E44" s="526"/>
    </row>
  </sheetData>
  <mergeCells count="38">
    <mergeCell ref="A1:D1"/>
    <mergeCell ref="E1:AV1"/>
    <mergeCell ref="A2:D2"/>
    <mergeCell ref="E2:AV2"/>
    <mergeCell ref="A3:D3"/>
    <mergeCell ref="E3:AV3"/>
    <mergeCell ref="A4:D4"/>
    <mergeCell ref="A6:AV6"/>
    <mergeCell ref="A7:AV7"/>
    <mergeCell ref="AU8:AV8"/>
    <mergeCell ref="A9:A11"/>
    <mergeCell ref="B9:B11"/>
    <mergeCell ref="C9:C11"/>
    <mergeCell ref="D9:D11"/>
    <mergeCell ref="G9:I9"/>
    <mergeCell ref="J9:L9"/>
    <mergeCell ref="E9:E11"/>
    <mergeCell ref="F9:F11"/>
    <mergeCell ref="AI10:AQ10"/>
    <mergeCell ref="AR10:AR11"/>
    <mergeCell ref="R9:AR9"/>
    <mergeCell ref="P10:Q10"/>
    <mergeCell ref="R10:U10"/>
    <mergeCell ref="V10:AC10"/>
    <mergeCell ref="AD10:AH10"/>
    <mergeCell ref="G10:G11"/>
    <mergeCell ref="H10:I10"/>
    <mergeCell ref="J10:J11"/>
    <mergeCell ref="K10:L10"/>
    <mergeCell ref="O10:O11"/>
    <mergeCell ref="M9:M11"/>
    <mergeCell ref="N9:N11"/>
    <mergeCell ref="O9:Q9"/>
    <mergeCell ref="AS9:AS11"/>
    <mergeCell ref="AT9:AT11"/>
    <mergeCell ref="AU9:AU11"/>
    <mergeCell ref="AV9:AV11"/>
    <mergeCell ref="AW9:BA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2"/>
  <sheetViews>
    <sheetView topLeftCell="A15" zoomScale="85" zoomScaleNormal="85" workbookViewId="0">
      <selection activeCell="B32" sqref="B32"/>
    </sheetView>
  </sheetViews>
  <sheetFormatPr defaultRowHeight="12.75"/>
  <cols>
    <col min="1" max="1" width="7.140625" style="542" customWidth="1"/>
    <col min="2" max="2" width="31.28515625" style="543" customWidth="1"/>
    <col min="3" max="3" width="6.140625" style="542" customWidth="1"/>
    <col min="4" max="4" width="13.140625" style="542" customWidth="1"/>
    <col min="5" max="5" width="15.28515625" style="542" customWidth="1"/>
    <col min="6" max="6" width="12.5703125" style="542" customWidth="1"/>
    <col min="7" max="7" width="14.85546875" style="692" customWidth="1"/>
    <col min="8" max="8" width="13.85546875" style="542" customWidth="1"/>
    <col min="9" max="9" width="12.5703125" style="542" customWidth="1"/>
    <col min="10" max="10" width="13.42578125" style="542" customWidth="1"/>
    <col min="11" max="11" width="10.140625" style="542" customWidth="1"/>
    <col min="12" max="12" width="14" style="542" customWidth="1"/>
    <col min="13" max="14" width="14.42578125" style="542" customWidth="1"/>
    <col min="15" max="15" width="10.85546875" style="542" hidden="1" customWidth="1"/>
    <col min="16" max="16" width="9.5703125" style="542" hidden="1" customWidth="1"/>
    <col min="17" max="17" width="11.28515625" style="542" hidden="1" customWidth="1"/>
    <col min="18" max="18" width="8.5703125" style="542" hidden="1" customWidth="1"/>
    <col min="19" max="19" width="6.28515625" style="542" hidden="1" customWidth="1"/>
    <col min="20" max="20" width="5.7109375" style="542" hidden="1" customWidth="1"/>
    <col min="21" max="21" width="6" style="542" hidden="1" customWidth="1"/>
    <col min="22" max="22" width="5.42578125" style="542" hidden="1" customWidth="1"/>
    <col min="23" max="23" width="7.28515625" style="542" hidden="1" customWidth="1"/>
    <col min="24" max="24" width="20.28515625" style="542" customWidth="1"/>
    <col min="25" max="25" width="9.140625" style="542"/>
    <col min="26" max="26" width="11.140625" style="542" bestFit="1" customWidth="1"/>
    <col min="27" max="53" width="9.140625" style="542"/>
    <col min="54" max="16384" width="9.140625" style="477"/>
  </cols>
  <sheetData>
    <row r="1" spans="1:53">
      <c r="A1" s="858" t="s">
        <v>0</v>
      </c>
      <c r="B1" s="858"/>
      <c r="C1" s="858"/>
      <c r="D1" s="858"/>
      <c r="E1" s="859" t="s">
        <v>34</v>
      </c>
      <c r="F1" s="859"/>
      <c r="G1" s="859"/>
      <c r="H1" s="859"/>
      <c r="I1" s="859"/>
      <c r="J1" s="859"/>
      <c r="K1" s="859"/>
      <c r="L1" s="859"/>
      <c r="M1" s="859"/>
      <c r="N1" s="859"/>
      <c r="O1" s="859"/>
      <c r="P1" s="859"/>
      <c r="Q1" s="859"/>
      <c r="R1" s="859"/>
      <c r="S1" s="859"/>
      <c r="T1" s="859"/>
      <c r="U1" s="859"/>
      <c r="V1" s="859"/>
      <c r="W1" s="859"/>
      <c r="X1" s="547"/>
      <c r="Y1" s="547"/>
      <c r="Z1" s="547"/>
      <c r="AA1" s="547"/>
      <c r="AB1" s="547"/>
      <c r="AC1" s="547"/>
      <c r="AD1" s="547"/>
      <c r="AE1" s="547"/>
      <c r="AF1" s="547"/>
      <c r="AG1" s="547"/>
      <c r="AH1" s="547"/>
      <c r="AI1" s="547"/>
      <c r="AJ1" s="547"/>
      <c r="AK1" s="547"/>
      <c r="AL1" s="547"/>
      <c r="AM1" s="547"/>
      <c r="AN1" s="547"/>
      <c r="AO1" s="547"/>
      <c r="AP1" s="547"/>
      <c r="AQ1" s="547"/>
    </row>
    <row r="2" spans="1:53">
      <c r="A2" s="859" t="s">
        <v>777</v>
      </c>
      <c r="B2" s="859"/>
      <c r="C2" s="859"/>
      <c r="D2" s="859"/>
      <c r="E2" s="859" t="s">
        <v>35</v>
      </c>
      <c r="F2" s="859"/>
      <c r="G2" s="859"/>
      <c r="H2" s="859"/>
      <c r="I2" s="859"/>
      <c r="J2" s="859"/>
      <c r="K2" s="859"/>
      <c r="L2" s="859"/>
      <c r="M2" s="859"/>
      <c r="N2" s="859"/>
      <c r="O2" s="859"/>
      <c r="P2" s="859"/>
      <c r="Q2" s="859"/>
      <c r="R2" s="859"/>
      <c r="S2" s="859"/>
      <c r="T2" s="859"/>
      <c r="U2" s="859"/>
      <c r="V2" s="859"/>
      <c r="W2" s="859"/>
      <c r="X2" s="547"/>
      <c r="Y2" s="547"/>
      <c r="Z2" s="547"/>
      <c r="AA2" s="547"/>
      <c r="AB2" s="547"/>
      <c r="AC2" s="547"/>
      <c r="AD2" s="547"/>
      <c r="AE2" s="547"/>
      <c r="AF2" s="547"/>
      <c r="AG2" s="547"/>
      <c r="AH2" s="547"/>
      <c r="AI2" s="547"/>
      <c r="AJ2" s="547"/>
      <c r="AK2" s="547"/>
      <c r="AL2" s="547"/>
      <c r="AM2" s="547"/>
      <c r="AN2" s="547"/>
      <c r="AO2" s="547"/>
      <c r="AP2" s="547"/>
      <c r="AQ2" s="547"/>
    </row>
    <row r="3" spans="1:53">
      <c r="A3" s="859"/>
      <c r="B3" s="859"/>
      <c r="C3" s="859"/>
      <c r="D3" s="859"/>
      <c r="E3" s="860" t="s">
        <v>834</v>
      </c>
      <c r="F3" s="860"/>
      <c r="G3" s="860"/>
      <c r="H3" s="860"/>
      <c r="I3" s="860"/>
      <c r="J3" s="860"/>
      <c r="K3" s="860"/>
      <c r="L3" s="860"/>
      <c r="M3" s="860"/>
      <c r="N3" s="860"/>
      <c r="O3" s="860"/>
      <c r="P3" s="860"/>
      <c r="Q3" s="860"/>
      <c r="R3" s="860"/>
      <c r="S3" s="860"/>
      <c r="T3" s="860"/>
      <c r="U3" s="860"/>
      <c r="V3" s="860"/>
      <c r="W3" s="860"/>
      <c r="X3" s="545"/>
      <c r="Y3" s="545"/>
      <c r="Z3" s="545"/>
      <c r="AA3" s="545"/>
      <c r="AB3" s="545"/>
      <c r="AC3" s="545"/>
      <c r="AD3" s="545"/>
      <c r="AE3" s="545"/>
      <c r="AF3" s="545"/>
      <c r="AG3" s="545"/>
      <c r="AH3" s="545"/>
      <c r="AI3" s="545"/>
      <c r="AJ3" s="545"/>
      <c r="AK3" s="545"/>
      <c r="AL3" s="545"/>
      <c r="AM3" s="545"/>
      <c r="AN3" s="545"/>
      <c r="AO3" s="545"/>
      <c r="AP3" s="545"/>
      <c r="AQ3" s="545"/>
    </row>
    <row r="4" spans="1:53">
      <c r="A4" s="858"/>
      <c r="B4" s="858"/>
      <c r="C4" s="858"/>
      <c r="D4" s="858"/>
      <c r="E4" s="538"/>
      <c r="F4" s="538"/>
      <c r="G4" s="691"/>
      <c r="H4" s="538"/>
      <c r="I4" s="538"/>
      <c r="J4" s="538"/>
      <c r="K4" s="538"/>
      <c r="L4" s="538"/>
      <c r="M4" s="538"/>
      <c r="N4" s="538"/>
      <c r="O4" s="538"/>
      <c r="P4" s="538"/>
      <c r="Q4" s="538" t="s">
        <v>780</v>
      </c>
      <c r="R4" s="538"/>
      <c r="S4" s="538"/>
      <c r="T4" s="538"/>
      <c r="U4" s="538"/>
      <c r="V4" s="538"/>
      <c r="W4" s="538"/>
      <c r="X4" s="538"/>
      <c r="Y4" s="538"/>
      <c r="Z4" s="538"/>
      <c r="AA4" s="538"/>
      <c r="AB4" s="538"/>
      <c r="AC4" s="538"/>
      <c r="AD4" s="538"/>
      <c r="AE4" s="538"/>
      <c r="AF4" s="538"/>
      <c r="AG4" s="538"/>
      <c r="AH4" s="538"/>
      <c r="AI4" s="538"/>
      <c r="AJ4" s="538"/>
      <c r="AK4" s="538"/>
      <c r="AL4" s="538"/>
      <c r="AM4" s="538"/>
      <c r="AN4" s="538"/>
      <c r="AO4" s="538"/>
      <c r="AP4" s="538"/>
      <c r="AQ4" s="538"/>
    </row>
    <row r="6" spans="1:53">
      <c r="A6" s="810" t="s">
        <v>833</v>
      </c>
      <c r="B6" s="810"/>
      <c r="C6" s="810"/>
      <c r="D6" s="810"/>
      <c r="E6" s="810"/>
      <c r="F6" s="810"/>
      <c r="G6" s="810"/>
      <c r="H6" s="810"/>
      <c r="I6" s="810"/>
      <c r="J6" s="810"/>
      <c r="K6" s="810"/>
      <c r="L6" s="810"/>
      <c r="M6" s="810"/>
      <c r="N6" s="810"/>
      <c r="O6" s="810"/>
      <c r="P6" s="810"/>
      <c r="Q6" s="810"/>
      <c r="R6" s="810"/>
      <c r="S6" s="810"/>
      <c r="T6" s="810"/>
      <c r="U6" s="810"/>
      <c r="V6" s="810"/>
      <c r="W6" s="810"/>
    </row>
    <row r="7" spans="1:53">
      <c r="A7" s="809" t="s">
        <v>835</v>
      </c>
      <c r="B7" s="809"/>
      <c r="C7" s="809"/>
      <c r="D7" s="809"/>
      <c r="E7" s="809"/>
      <c r="F7" s="809"/>
      <c r="G7" s="809"/>
      <c r="H7" s="809"/>
      <c r="I7" s="809"/>
      <c r="J7" s="809"/>
      <c r="K7" s="809"/>
      <c r="L7" s="809"/>
      <c r="M7" s="809"/>
      <c r="N7" s="809"/>
      <c r="O7" s="809"/>
      <c r="P7" s="809"/>
      <c r="Q7" s="809"/>
      <c r="R7" s="809"/>
      <c r="S7" s="809"/>
      <c r="T7" s="809"/>
      <c r="U7" s="809"/>
      <c r="V7" s="809"/>
      <c r="W7" s="809"/>
    </row>
    <row r="8" spans="1:53">
      <c r="N8" s="549"/>
      <c r="Q8" s="542" t="s">
        <v>779</v>
      </c>
      <c r="W8" s="549" t="s">
        <v>608</v>
      </c>
    </row>
    <row r="9" spans="1:53" ht="42" customHeight="1">
      <c r="A9" s="851" t="s">
        <v>3</v>
      </c>
      <c r="B9" s="851" t="s">
        <v>130</v>
      </c>
      <c r="C9" s="851" t="s">
        <v>609</v>
      </c>
      <c r="D9" s="851" t="s">
        <v>610</v>
      </c>
      <c r="E9" s="851" t="s">
        <v>611</v>
      </c>
      <c r="F9" s="851"/>
      <c r="G9" s="851"/>
      <c r="H9" s="851" t="s">
        <v>612</v>
      </c>
      <c r="I9" s="851"/>
      <c r="J9" s="851"/>
      <c r="K9" s="851"/>
      <c r="L9" s="851"/>
      <c r="M9" s="851"/>
      <c r="N9" s="851"/>
      <c r="O9" s="851" t="s">
        <v>613</v>
      </c>
      <c r="P9" s="851"/>
      <c r="Q9" s="851"/>
      <c r="R9" s="806" t="s">
        <v>633</v>
      </c>
      <c r="S9" s="823" t="s">
        <v>381</v>
      </c>
      <c r="T9" s="824"/>
      <c r="U9" s="824"/>
      <c r="V9" s="824"/>
      <c r="W9" s="825"/>
      <c r="X9" s="852" t="s">
        <v>49</v>
      </c>
    </row>
    <row r="10" spans="1:53" ht="30.75" customHeight="1">
      <c r="A10" s="851"/>
      <c r="B10" s="851"/>
      <c r="C10" s="851"/>
      <c r="D10" s="851"/>
      <c r="E10" s="851" t="s">
        <v>5</v>
      </c>
      <c r="F10" s="851" t="s">
        <v>614</v>
      </c>
      <c r="G10" s="855" t="s">
        <v>615</v>
      </c>
      <c r="H10" s="806" t="s">
        <v>5</v>
      </c>
      <c r="I10" s="851" t="s">
        <v>616</v>
      </c>
      <c r="J10" s="851"/>
      <c r="K10" s="851"/>
      <c r="L10" s="851" t="s">
        <v>617</v>
      </c>
      <c r="M10" s="851"/>
      <c r="N10" s="851"/>
      <c r="O10" s="806" t="s">
        <v>5</v>
      </c>
      <c r="P10" s="851" t="s">
        <v>134</v>
      </c>
      <c r="Q10" s="851"/>
      <c r="R10" s="807"/>
      <c r="S10" s="853" t="s">
        <v>644</v>
      </c>
      <c r="T10" s="853" t="s">
        <v>645</v>
      </c>
      <c r="U10" s="853" t="s">
        <v>646</v>
      </c>
      <c r="V10" s="853" t="s">
        <v>647</v>
      </c>
      <c r="W10" s="822" t="s">
        <v>388</v>
      </c>
      <c r="X10" s="852"/>
    </row>
    <row r="11" spans="1:53" ht="17.25" customHeight="1">
      <c r="A11" s="851"/>
      <c r="B11" s="851"/>
      <c r="C11" s="851"/>
      <c r="D11" s="851"/>
      <c r="E11" s="851"/>
      <c r="F11" s="851"/>
      <c r="G11" s="856"/>
      <c r="H11" s="807"/>
      <c r="I11" s="851" t="s">
        <v>5</v>
      </c>
      <c r="J11" s="851" t="s">
        <v>134</v>
      </c>
      <c r="K11" s="851"/>
      <c r="L11" s="806" t="s">
        <v>5</v>
      </c>
      <c r="M11" s="851" t="s">
        <v>134</v>
      </c>
      <c r="N11" s="851"/>
      <c r="O11" s="807"/>
      <c r="P11" s="851" t="s">
        <v>616</v>
      </c>
      <c r="Q11" s="851" t="s">
        <v>617</v>
      </c>
      <c r="R11" s="807"/>
      <c r="S11" s="854"/>
      <c r="T11" s="854"/>
      <c r="U11" s="854"/>
      <c r="V11" s="854"/>
      <c r="W11" s="822"/>
      <c r="X11" s="852"/>
    </row>
    <row r="12" spans="1:53" ht="107.25" customHeight="1">
      <c r="A12" s="851"/>
      <c r="B12" s="851"/>
      <c r="C12" s="851"/>
      <c r="D12" s="851"/>
      <c r="E12" s="851"/>
      <c r="F12" s="851"/>
      <c r="G12" s="857"/>
      <c r="H12" s="808"/>
      <c r="I12" s="851"/>
      <c r="J12" s="474" t="s">
        <v>618</v>
      </c>
      <c r="K12" s="474" t="s">
        <v>619</v>
      </c>
      <c r="L12" s="808"/>
      <c r="M12" s="474" t="s">
        <v>618</v>
      </c>
      <c r="N12" s="474" t="s">
        <v>619</v>
      </c>
      <c r="O12" s="808"/>
      <c r="P12" s="851"/>
      <c r="Q12" s="851"/>
      <c r="R12" s="808"/>
      <c r="S12" s="854"/>
      <c r="T12" s="854"/>
      <c r="U12" s="854"/>
      <c r="V12" s="854"/>
      <c r="W12" s="822"/>
      <c r="X12" s="852"/>
    </row>
    <row r="13" spans="1:53" s="539" customFormat="1" ht="22.5" customHeight="1">
      <c r="A13" s="475">
        <v>1</v>
      </c>
      <c r="B13" s="534">
        <v>2</v>
      </c>
      <c r="C13" s="475">
        <v>3</v>
      </c>
      <c r="D13" s="475">
        <v>4</v>
      </c>
      <c r="E13" s="475" t="s">
        <v>620</v>
      </c>
      <c r="F13" s="475">
        <v>6</v>
      </c>
      <c r="G13" s="673">
        <v>7</v>
      </c>
      <c r="H13" s="475" t="s">
        <v>621</v>
      </c>
      <c r="I13" s="475" t="s">
        <v>622</v>
      </c>
      <c r="J13" s="475">
        <v>10</v>
      </c>
      <c r="K13" s="475">
        <v>11</v>
      </c>
      <c r="L13" s="475" t="s">
        <v>623</v>
      </c>
      <c r="M13" s="475">
        <v>13</v>
      </c>
      <c r="N13" s="475">
        <v>14</v>
      </c>
      <c r="O13" s="476" t="s">
        <v>624</v>
      </c>
      <c r="P13" s="475">
        <v>16</v>
      </c>
      <c r="Q13" s="475">
        <v>17</v>
      </c>
      <c r="R13" s="475">
        <v>18</v>
      </c>
      <c r="S13" s="475">
        <v>19</v>
      </c>
      <c r="T13" s="475">
        <v>20</v>
      </c>
      <c r="U13" s="475">
        <v>21</v>
      </c>
      <c r="V13" s="475">
        <v>22</v>
      </c>
      <c r="W13" s="475">
        <v>23</v>
      </c>
      <c r="X13" s="533">
        <v>15</v>
      </c>
      <c r="Y13" s="546"/>
      <c r="Z13" s="546"/>
      <c r="AA13" s="546"/>
      <c r="AB13" s="546"/>
      <c r="AC13" s="546"/>
      <c r="AD13" s="546"/>
      <c r="AE13" s="546"/>
      <c r="AF13" s="546"/>
      <c r="AG13" s="546"/>
      <c r="AH13" s="546"/>
      <c r="AI13" s="546"/>
      <c r="AJ13" s="546"/>
      <c r="AK13" s="546"/>
      <c r="AL13" s="546"/>
      <c r="AM13" s="546"/>
      <c r="AN13" s="546"/>
      <c r="AO13" s="546"/>
      <c r="AP13" s="546"/>
      <c r="AQ13" s="546"/>
      <c r="AR13" s="546"/>
      <c r="AS13" s="546"/>
      <c r="AT13" s="546"/>
      <c r="AU13" s="546"/>
      <c r="AV13" s="546"/>
      <c r="AW13" s="546"/>
      <c r="AX13" s="546"/>
      <c r="AY13" s="546"/>
      <c r="AZ13" s="546"/>
      <c r="BA13" s="546"/>
    </row>
    <row r="14" spans="1:53">
      <c r="A14" s="475"/>
      <c r="B14" s="475" t="s">
        <v>24</v>
      </c>
      <c r="C14" s="475"/>
      <c r="D14" s="531"/>
      <c r="E14" s="532">
        <f>E15+E16</f>
        <v>16853522</v>
      </c>
      <c r="F14" s="532">
        <f t="shared" ref="F14:W14" si="0">F15+F16</f>
        <v>0</v>
      </c>
      <c r="G14" s="532">
        <f t="shared" si="0"/>
        <v>16853522</v>
      </c>
      <c r="H14" s="532">
        <f t="shared" si="0"/>
        <v>0</v>
      </c>
      <c r="I14" s="532">
        <f t="shared" si="0"/>
        <v>0</v>
      </c>
      <c r="J14" s="532">
        <f t="shared" si="0"/>
        <v>0</v>
      </c>
      <c r="K14" s="532">
        <f t="shared" si="0"/>
        <v>0</v>
      </c>
      <c r="L14" s="532">
        <f t="shared" si="0"/>
        <v>0</v>
      </c>
      <c r="M14" s="532">
        <f t="shared" si="0"/>
        <v>0</v>
      </c>
      <c r="N14" s="532">
        <f t="shared" si="0"/>
        <v>0</v>
      </c>
      <c r="O14" s="532" t="e">
        <f t="shared" si="0"/>
        <v>#REF!</v>
      </c>
      <c r="P14" s="532" t="e">
        <f t="shared" si="0"/>
        <v>#REF!</v>
      </c>
      <c r="Q14" s="532" t="e">
        <f t="shared" si="0"/>
        <v>#REF!</v>
      </c>
      <c r="R14" s="532" t="e">
        <f t="shared" si="0"/>
        <v>#REF!</v>
      </c>
      <c r="S14" s="532" t="e">
        <f t="shared" si="0"/>
        <v>#REF!</v>
      </c>
      <c r="T14" s="532" t="e">
        <f t="shared" si="0"/>
        <v>#REF!</v>
      </c>
      <c r="U14" s="532" t="e">
        <f t="shared" si="0"/>
        <v>#REF!</v>
      </c>
      <c r="V14" s="532">
        <f t="shared" si="0"/>
        <v>0</v>
      </c>
      <c r="W14" s="532">
        <f t="shared" si="0"/>
        <v>0</v>
      </c>
      <c r="X14" s="530"/>
      <c r="Y14" s="592"/>
    </row>
    <row r="15" spans="1:53">
      <c r="A15" s="475" t="s">
        <v>19</v>
      </c>
      <c r="B15" s="534" t="s">
        <v>784</v>
      </c>
      <c r="C15" s="475"/>
      <c r="D15" s="531"/>
      <c r="E15" s="532">
        <v>0</v>
      </c>
      <c r="F15" s="532">
        <v>0</v>
      </c>
      <c r="G15" s="532">
        <v>0</v>
      </c>
      <c r="H15" s="532">
        <v>0</v>
      </c>
      <c r="I15" s="532">
        <v>0</v>
      </c>
      <c r="J15" s="532">
        <v>0</v>
      </c>
      <c r="K15" s="532">
        <v>0</v>
      </c>
      <c r="L15" s="532">
        <v>0</v>
      </c>
      <c r="M15" s="532">
        <v>0</v>
      </c>
      <c r="N15" s="532">
        <v>0</v>
      </c>
      <c r="O15" s="532">
        <v>0</v>
      </c>
      <c r="P15" s="532">
        <v>0</v>
      </c>
      <c r="Q15" s="532">
        <v>0</v>
      </c>
      <c r="R15" s="532">
        <v>0</v>
      </c>
      <c r="S15" s="532">
        <v>0</v>
      </c>
      <c r="T15" s="532">
        <v>0</v>
      </c>
      <c r="U15" s="532">
        <v>0</v>
      </c>
      <c r="V15" s="532">
        <v>0</v>
      </c>
      <c r="W15" s="532">
        <v>0</v>
      </c>
      <c r="X15" s="530"/>
    </row>
    <row r="16" spans="1:53">
      <c r="A16" s="475" t="s">
        <v>23</v>
      </c>
      <c r="B16" s="534" t="s">
        <v>877</v>
      </c>
      <c r="C16" s="475"/>
      <c r="D16" s="531"/>
      <c r="E16" s="532">
        <f>E17</f>
        <v>16853522</v>
      </c>
      <c r="F16" s="532">
        <f t="shared" ref="F16:W16" si="1">F17</f>
        <v>0</v>
      </c>
      <c r="G16" s="532">
        <f t="shared" si="1"/>
        <v>16853522</v>
      </c>
      <c r="H16" s="532">
        <f t="shared" si="1"/>
        <v>0</v>
      </c>
      <c r="I16" s="532">
        <f t="shared" si="1"/>
        <v>0</v>
      </c>
      <c r="J16" s="532">
        <f t="shared" si="1"/>
        <v>0</v>
      </c>
      <c r="K16" s="532">
        <f t="shared" si="1"/>
        <v>0</v>
      </c>
      <c r="L16" s="532">
        <f t="shared" si="1"/>
        <v>0</v>
      </c>
      <c r="M16" s="532">
        <f t="shared" si="1"/>
        <v>0</v>
      </c>
      <c r="N16" s="532">
        <f t="shared" si="1"/>
        <v>0</v>
      </c>
      <c r="O16" s="532" t="e">
        <f t="shared" si="1"/>
        <v>#REF!</v>
      </c>
      <c r="P16" s="532" t="e">
        <f t="shared" si="1"/>
        <v>#REF!</v>
      </c>
      <c r="Q16" s="532" t="e">
        <f t="shared" si="1"/>
        <v>#REF!</v>
      </c>
      <c r="R16" s="532" t="e">
        <f t="shared" si="1"/>
        <v>#REF!</v>
      </c>
      <c r="S16" s="532" t="e">
        <f t="shared" si="1"/>
        <v>#REF!</v>
      </c>
      <c r="T16" s="532" t="e">
        <f t="shared" si="1"/>
        <v>#REF!</v>
      </c>
      <c r="U16" s="532" t="e">
        <f t="shared" si="1"/>
        <v>#REF!</v>
      </c>
      <c r="V16" s="532">
        <f t="shared" si="1"/>
        <v>0</v>
      </c>
      <c r="W16" s="532">
        <f t="shared" si="1"/>
        <v>0</v>
      </c>
      <c r="X16" s="530"/>
    </row>
    <row r="17" spans="1:53" s="539" customFormat="1">
      <c r="A17" s="533">
        <v>1</v>
      </c>
      <c r="B17" s="706" t="s">
        <v>788</v>
      </c>
      <c r="C17" s="533"/>
      <c r="D17" s="533"/>
      <c r="E17" s="532">
        <f>E18+E24+E24+E28+E31+E33</f>
        <v>16853522</v>
      </c>
      <c r="F17" s="532">
        <f t="shared" ref="F17:X17" si="2">F18+F24+F24+F28+F31+F33</f>
        <v>0</v>
      </c>
      <c r="G17" s="532">
        <f t="shared" si="2"/>
        <v>16853522</v>
      </c>
      <c r="H17" s="532">
        <f t="shared" si="2"/>
        <v>0</v>
      </c>
      <c r="I17" s="532">
        <f t="shared" si="2"/>
        <v>0</v>
      </c>
      <c r="J17" s="532">
        <f t="shared" si="2"/>
        <v>0</v>
      </c>
      <c r="K17" s="532">
        <f t="shared" si="2"/>
        <v>0</v>
      </c>
      <c r="L17" s="532">
        <f t="shared" si="2"/>
        <v>0</v>
      </c>
      <c r="M17" s="532">
        <f t="shared" si="2"/>
        <v>0</v>
      </c>
      <c r="N17" s="532">
        <f t="shared" si="2"/>
        <v>0</v>
      </c>
      <c r="O17" s="532" t="e">
        <f t="shared" si="2"/>
        <v>#REF!</v>
      </c>
      <c r="P17" s="532" t="e">
        <f t="shared" si="2"/>
        <v>#REF!</v>
      </c>
      <c r="Q17" s="532" t="e">
        <f t="shared" si="2"/>
        <v>#REF!</v>
      </c>
      <c r="R17" s="532" t="e">
        <f t="shared" si="2"/>
        <v>#REF!</v>
      </c>
      <c r="S17" s="532" t="e">
        <f t="shared" si="2"/>
        <v>#REF!</v>
      </c>
      <c r="T17" s="532" t="e">
        <f t="shared" si="2"/>
        <v>#REF!</v>
      </c>
      <c r="U17" s="532" t="e">
        <f t="shared" si="2"/>
        <v>#REF!</v>
      </c>
      <c r="V17" s="532">
        <f t="shared" si="2"/>
        <v>0</v>
      </c>
      <c r="W17" s="532">
        <f t="shared" si="2"/>
        <v>0</v>
      </c>
      <c r="X17" s="532">
        <f t="shared" si="2"/>
        <v>0</v>
      </c>
      <c r="Y17" s="546"/>
      <c r="Z17" s="546"/>
      <c r="AA17" s="546"/>
      <c r="AB17" s="546"/>
      <c r="AC17" s="546"/>
      <c r="AD17" s="546"/>
      <c r="AE17" s="546"/>
      <c r="AF17" s="546"/>
      <c r="AG17" s="546"/>
      <c r="AH17" s="546"/>
      <c r="AI17" s="546"/>
      <c r="AJ17" s="546"/>
      <c r="AK17" s="546"/>
      <c r="AL17" s="546"/>
      <c r="AM17" s="546"/>
      <c r="AN17" s="546"/>
      <c r="AO17" s="546"/>
      <c r="AP17" s="546"/>
      <c r="AQ17" s="546"/>
      <c r="AR17" s="546"/>
      <c r="AS17" s="546"/>
      <c r="AT17" s="546"/>
      <c r="AU17" s="546"/>
      <c r="AV17" s="546"/>
      <c r="AW17" s="546"/>
      <c r="AX17" s="546"/>
      <c r="AY17" s="546"/>
      <c r="AZ17" s="546"/>
      <c r="BA17" s="546"/>
    </row>
    <row r="18" spans="1:53" s="557" customFormat="1" ht="13.5">
      <c r="A18" s="560" t="s">
        <v>629</v>
      </c>
      <c r="B18" s="564" t="s">
        <v>774</v>
      </c>
      <c r="C18" s="560"/>
      <c r="D18" s="704"/>
      <c r="E18" s="704">
        <f t="shared" ref="E18:M18" si="3">SUM(E19:E23)</f>
        <v>7650000</v>
      </c>
      <c r="F18" s="704">
        <f t="shared" si="3"/>
        <v>0</v>
      </c>
      <c r="G18" s="704">
        <f t="shared" si="3"/>
        <v>7650000</v>
      </c>
      <c r="H18" s="704">
        <f t="shared" si="3"/>
        <v>0</v>
      </c>
      <c r="I18" s="704">
        <f t="shared" si="3"/>
        <v>0</v>
      </c>
      <c r="J18" s="704">
        <f t="shared" si="3"/>
        <v>0</v>
      </c>
      <c r="K18" s="704">
        <f t="shared" si="3"/>
        <v>0</v>
      </c>
      <c r="L18" s="704">
        <f t="shared" si="3"/>
        <v>0</v>
      </c>
      <c r="M18" s="704">
        <f t="shared" si="3"/>
        <v>0</v>
      </c>
      <c r="N18" s="704">
        <f t="shared" ref="N18:W18" si="4">SUM(N19:N23)</f>
        <v>0</v>
      </c>
      <c r="O18" s="704">
        <f t="shared" si="4"/>
        <v>0</v>
      </c>
      <c r="P18" s="704">
        <f t="shared" si="4"/>
        <v>0</v>
      </c>
      <c r="Q18" s="704">
        <f t="shared" si="4"/>
        <v>0</v>
      </c>
      <c r="R18" s="704">
        <f t="shared" si="4"/>
        <v>0</v>
      </c>
      <c r="S18" s="704">
        <f t="shared" si="4"/>
        <v>0</v>
      </c>
      <c r="T18" s="704">
        <f t="shared" si="4"/>
        <v>0</v>
      </c>
      <c r="U18" s="704">
        <f t="shared" si="4"/>
        <v>0</v>
      </c>
      <c r="V18" s="704">
        <f t="shared" si="4"/>
        <v>0</v>
      </c>
      <c r="W18" s="704">
        <f t="shared" si="4"/>
        <v>0</v>
      </c>
      <c r="X18" s="704"/>
      <c r="Y18" s="561"/>
      <c r="Z18" s="561"/>
      <c r="AA18" s="561"/>
      <c r="AB18" s="561"/>
      <c r="AC18" s="561"/>
      <c r="AD18" s="561"/>
      <c r="AE18" s="561"/>
      <c r="AF18" s="561"/>
      <c r="AG18" s="561"/>
      <c r="AH18" s="561"/>
      <c r="AI18" s="561"/>
      <c r="AJ18" s="561"/>
      <c r="AK18" s="561"/>
      <c r="AL18" s="561"/>
      <c r="AM18" s="561"/>
      <c r="AN18" s="561"/>
      <c r="AO18" s="561"/>
      <c r="AP18" s="561"/>
      <c r="AQ18" s="561"/>
      <c r="AR18" s="561"/>
      <c r="AS18" s="561"/>
      <c r="AT18" s="561"/>
      <c r="AU18" s="561"/>
      <c r="AV18" s="561"/>
      <c r="AW18" s="561"/>
      <c r="AX18" s="561"/>
      <c r="AY18" s="561"/>
      <c r="AZ18" s="561"/>
      <c r="BA18" s="561"/>
    </row>
    <row r="19" spans="1:53" ht="46.5" customHeight="1">
      <c r="A19" s="530" t="s">
        <v>765</v>
      </c>
      <c r="B19" s="740" t="s">
        <v>867</v>
      </c>
      <c r="C19" s="530"/>
      <c r="D19" s="530"/>
      <c r="E19" s="529">
        <f>G19</f>
        <v>5000000</v>
      </c>
      <c r="F19" s="530"/>
      <c r="G19" s="675">
        <v>5000000</v>
      </c>
      <c r="H19" s="529">
        <f t="shared" ref="H19:H27" si="5">I19+L19</f>
        <v>0</v>
      </c>
      <c r="I19" s="675">
        <f>J19+K19</f>
        <v>0</v>
      </c>
      <c r="J19" s="530"/>
      <c r="K19" s="530"/>
      <c r="L19" s="677">
        <f t="shared" ref="L19:L30" si="6">M19+N19</f>
        <v>0</v>
      </c>
      <c r="M19" s="675"/>
      <c r="N19" s="530"/>
      <c r="O19" s="530"/>
      <c r="P19" s="530"/>
      <c r="Q19" s="530"/>
      <c r="R19" s="530"/>
      <c r="S19" s="530"/>
      <c r="T19" s="530"/>
      <c r="U19" s="530"/>
      <c r="V19" s="530"/>
      <c r="W19" s="530"/>
      <c r="X19" s="589" t="str">
        <f>+X25</f>
        <v>Đang lập HSTK</v>
      </c>
    </row>
    <row r="20" spans="1:53" ht="36" customHeight="1">
      <c r="A20" s="530" t="s">
        <v>766</v>
      </c>
      <c r="B20" s="536" t="s">
        <v>868</v>
      </c>
      <c r="C20" s="530"/>
      <c r="D20" s="530"/>
      <c r="E20" s="529">
        <f>G20</f>
        <v>500000</v>
      </c>
      <c r="F20" s="530"/>
      <c r="G20" s="675">
        <v>500000</v>
      </c>
      <c r="H20" s="529">
        <f t="shared" si="5"/>
        <v>0</v>
      </c>
      <c r="I20" s="675">
        <f>J20+K20</f>
        <v>0</v>
      </c>
      <c r="J20" s="530"/>
      <c r="K20" s="530"/>
      <c r="L20" s="677">
        <f t="shared" si="6"/>
        <v>0</v>
      </c>
      <c r="M20" s="675"/>
      <c r="N20" s="530"/>
      <c r="O20" s="530"/>
      <c r="P20" s="530"/>
      <c r="Q20" s="530"/>
      <c r="R20" s="530"/>
      <c r="S20" s="530"/>
      <c r="T20" s="530"/>
      <c r="U20" s="530"/>
      <c r="V20" s="530"/>
      <c r="W20" s="530"/>
      <c r="X20" s="589" t="str">
        <f>+X26</f>
        <v>Đang lập HSTK</v>
      </c>
      <c r="Z20" s="542">
        <v>1076.4659999999999</v>
      </c>
    </row>
    <row r="21" spans="1:53" ht="36" customHeight="1">
      <c r="A21" s="530" t="s">
        <v>767</v>
      </c>
      <c r="B21" s="740" t="s">
        <v>869</v>
      </c>
      <c r="C21" s="530"/>
      <c r="D21" s="530"/>
      <c r="E21" s="529">
        <f>G21</f>
        <v>650000</v>
      </c>
      <c r="F21" s="530"/>
      <c r="G21" s="675">
        <v>650000</v>
      </c>
      <c r="H21" s="529">
        <f t="shared" si="5"/>
        <v>0</v>
      </c>
      <c r="I21" s="675">
        <f>J21+K21</f>
        <v>0</v>
      </c>
      <c r="J21" s="530"/>
      <c r="K21" s="530"/>
      <c r="L21" s="677">
        <f t="shared" si="6"/>
        <v>0</v>
      </c>
      <c r="M21" s="675"/>
      <c r="N21" s="530"/>
      <c r="O21" s="530"/>
      <c r="P21" s="530"/>
      <c r="Q21" s="530"/>
      <c r="R21" s="530"/>
      <c r="S21" s="530"/>
      <c r="T21" s="530"/>
      <c r="U21" s="530"/>
      <c r="V21" s="530"/>
      <c r="W21" s="530"/>
      <c r="X21" s="589" t="str">
        <f>+X27</f>
        <v>Đang lập HSTK</v>
      </c>
    </row>
    <row r="22" spans="1:53" ht="36" customHeight="1">
      <c r="A22" s="530" t="s">
        <v>768</v>
      </c>
      <c r="B22" s="740" t="s">
        <v>870</v>
      </c>
      <c r="C22" s="530"/>
      <c r="D22" s="530"/>
      <c r="E22" s="529">
        <f>G22</f>
        <v>1000000</v>
      </c>
      <c r="F22" s="530"/>
      <c r="G22" s="675">
        <v>1000000</v>
      </c>
      <c r="H22" s="529">
        <f t="shared" si="5"/>
        <v>0</v>
      </c>
      <c r="I22" s="675">
        <f>J22+K22</f>
        <v>0</v>
      </c>
      <c r="J22" s="530"/>
      <c r="K22" s="530"/>
      <c r="L22" s="677">
        <f t="shared" si="6"/>
        <v>0</v>
      </c>
      <c r="M22" s="675"/>
      <c r="N22" s="530"/>
      <c r="O22" s="530"/>
      <c r="P22" s="530"/>
      <c r="Q22" s="530"/>
      <c r="R22" s="530"/>
      <c r="S22" s="530"/>
      <c r="T22" s="530"/>
      <c r="U22" s="530"/>
      <c r="V22" s="530"/>
      <c r="W22" s="530"/>
      <c r="X22" s="589" t="s">
        <v>510</v>
      </c>
    </row>
    <row r="23" spans="1:53" ht="44.25" customHeight="1">
      <c r="A23" s="530" t="s">
        <v>769</v>
      </c>
      <c r="B23" s="740" t="s">
        <v>871</v>
      </c>
      <c r="C23" s="530"/>
      <c r="D23" s="530"/>
      <c r="E23" s="529">
        <f>G23</f>
        <v>500000</v>
      </c>
      <c r="F23" s="530"/>
      <c r="G23" s="675">
        <v>500000</v>
      </c>
      <c r="H23" s="529">
        <f t="shared" si="5"/>
        <v>0</v>
      </c>
      <c r="I23" s="675">
        <f>J23+K23</f>
        <v>0</v>
      </c>
      <c r="J23" s="530"/>
      <c r="K23" s="530"/>
      <c r="L23" s="677">
        <f t="shared" si="6"/>
        <v>0</v>
      </c>
      <c r="M23" s="675"/>
      <c r="N23" s="530"/>
      <c r="O23" s="530"/>
      <c r="P23" s="530"/>
      <c r="Q23" s="530"/>
      <c r="R23" s="530"/>
      <c r="S23" s="530"/>
      <c r="T23" s="530"/>
      <c r="U23" s="530"/>
      <c r="V23" s="530"/>
      <c r="W23" s="530"/>
      <c r="X23" s="589" t="str">
        <f>+X29</f>
        <v>Đang lập HSTK</v>
      </c>
    </row>
    <row r="24" spans="1:53" s="557" customFormat="1" ht="13.5">
      <c r="A24" s="560" t="s">
        <v>631</v>
      </c>
      <c r="B24" s="690" t="s">
        <v>775</v>
      </c>
      <c r="C24" s="560"/>
      <c r="D24" s="560"/>
      <c r="E24" s="563">
        <f>SUM(E25:E27)</f>
        <v>3500000</v>
      </c>
      <c r="F24" s="563">
        <f>SUM(F25:F27)</f>
        <v>0</v>
      </c>
      <c r="G24" s="563">
        <f>SUM(G25:G27)</f>
        <v>3500000</v>
      </c>
      <c r="H24" s="563">
        <f t="shared" si="5"/>
        <v>0</v>
      </c>
      <c r="I24" s="563">
        <f t="shared" ref="I24:W24" si="7">SUM(I25:I27)</f>
        <v>0</v>
      </c>
      <c r="J24" s="563">
        <f t="shared" si="7"/>
        <v>0</v>
      </c>
      <c r="K24" s="563">
        <f t="shared" si="7"/>
        <v>0</v>
      </c>
      <c r="L24" s="563">
        <f t="shared" si="7"/>
        <v>0</v>
      </c>
      <c r="M24" s="563">
        <f t="shared" si="7"/>
        <v>0</v>
      </c>
      <c r="N24" s="563">
        <f t="shared" si="7"/>
        <v>0</v>
      </c>
      <c r="O24" s="563">
        <f t="shared" si="7"/>
        <v>0</v>
      </c>
      <c r="P24" s="563">
        <f t="shared" si="7"/>
        <v>0</v>
      </c>
      <c r="Q24" s="563">
        <f t="shared" si="7"/>
        <v>0</v>
      </c>
      <c r="R24" s="563">
        <f t="shared" si="7"/>
        <v>0</v>
      </c>
      <c r="S24" s="563">
        <f t="shared" si="7"/>
        <v>0</v>
      </c>
      <c r="T24" s="563">
        <f t="shared" si="7"/>
        <v>0</v>
      </c>
      <c r="U24" s="563">
        <f t="shared" si="7"/>
        <v>0</v>
      </c>
      <c r="V24" s="563">
        <f t="shared" si="7"/>
        <v>0</v>
      </c>
      <c r="W24" s="563">
        <f t="shared" si="7"/>
        <v>0</v>
      </c>
      <c r="X24" s="560"/>
      <c r="Y24" s="561"/>
      <c r="Z24" s="561"/>
      <c r="AA24" s="561"/>
      <c r="AB24" s="561"/>
      <c r="AC24" s="561"/>
      <c r="AD24" s="561"/>
      <c r="AE24" s="561"/>
      <c r="AF24" s="561"/>
      <c r="AG24" s="561"/>
      <c r="AH24" s="561"/>
      <c r="AI24" s="561"/>
      <c r="AJ24" s="561"/>
      <c r="AK24" s="561"/>
      <c r="AL24" s="561"/>
      <c r="AM24" s="561"/>
      <c r="AN24" s="561"/>
      <c r="AO24" s="561"/>
      <c r="AP24" s="561"/>
      <c r="AQ24" s="561"/>
      <c r="AR24" s="561"/>
      <c r="AS24" s="561"/>
      <c r="AT24" s="561"/>
      <c r="AU24" s="561"/>
      <c r="AV24" s="561"/>
      <c r="AW24" s="561"/>
      <c r="AX24" s="561"/>
      <c r="AY24" s="561"/>
      <c r="AZ24" s="561"/>
      <c r="BA24" s="561"/>
    </row>
    <row r="25" spans="1:53" ht="25.5">
      <c r="A25" s="530" t="s">
        <v>748</v>
      </c>
      <c r="B25" s="741" t="s">
        <v>872</v>
      </c>
      <c r="C25" s="530"/>
      <c r="D25" s="530"/>
      <c r="E25" s="529">
        <f>F25+G25</f>
        <v>1050000</v>
      </c>
      <c r="F25" s="530"/>
      <c r="G25" s="675">
        <v>1050000</v>
      </c>
      <c r="H25" s="529">
        <f t="shared" si="5"/>
        <v>0</v>
      </c>
      <c r="I25" s="586">
        <f>J25+K25</f>
        <v>0</v>
      </c>
      <c r="J25" s="675">
        <v>0</v>
      </c>
      <c r="K25" s="530"/>
      <c r="L25" s="693">
        <f t="shared" si="6"/>
        <v>0</v>
      </c>
      <c r="M25" s="675"/>
      <c r="N25" s="530"/>
      <c r="O25" s="530"/>
      <c r="P25" s="530"/>
      <c r="Q25" s="530"/>
      <c r="R25" s="530"/>
      <c r="S25" s="530"/>
      <c r="T25" s="530"/>
      <c r="U25" s="530"/>
      <c r="V25" s="530"/>
      <c r="W25" s="530"/>
      <c r="X25" s="530" t="s">
        <v>510</v>
      </c>
    </row>
    <row r="26" spans="1:53" ht="25.5">
      <c r="A26" s="530" t="s">
        <v>763</v>
      </c>
      <c r="B26" s="741" t="s">
        <v>873</v>
      </c>
      <c r="C26" s="530"/>
      <c r="D26" s="530"/>
      <c r="E26" s="529">
        <f>F26+G26</f>
        <v>750000</v>
      </c>
      <c r="F26" s="530"/>
      <c r="G26" s="675">
        <v>750000</v>
      </c>
      <c r="H26" s="529">
        <f t="shared" si="5"/>
        <v>0</v>
      </c>
      <c r="I26" s="586">
        <f>J26+K26</f>
        <v>0</v>
      </c>
      <c r="J26" s="530"/>
      <c r="K26" s="530"/>
      <c r="L26" s="677">
        <f t="shared" si="6"/>
        <v>0</v>
      </c>
      <c r="M26" s="675"/>
      <c r="N26" s="530"/>
      <c r="O26" s="530"/>
      <c r="P26" s="530"/>
      <c r="Q26" s="530"/>
      <c r="R26" s="530"/>
      <c r="S26" s="530"/>
      <c r="T26" s="530"/>
      <c r="U26" s="530"/>
      <c r="V26" s="530"/>
      <c r="W26" s="530"/>
      <c r="X26" s="530" t="s">
        <v>510</v>
      </c>
    </row>
    <row r="27" spans="1:53" ht="25.5">
      <c r="A27" s="530" t="s">
        <v>860</v>
      </c>
      <c r="B27" s="740" t="s">
        <v>874</v>
      </c>
      <c r="C27" s="530"/>
      <c r="D27" s="530"/>
      <c r="E27" s="529">
        <f>F27+G27</f>
        <v>1700000</v>
      </c>
      <c r="F27" s="530"/>
      <c r="G27" s="674">
        <v>1700000</v>
      </c>
      <c r="H27" s="529">
        <f t="shared" si="5"/>
        <v>0</v>
      </c>
      <c r="I27" s="586">
        <f>J27+K27</f>
        <v>0</v>
      </c>
      <c r="J27" s="675">
        <v>0</v>
      </c>
      <c r="K27" s="530"/>
      <c r="L27" s="677">
        <f t="shared" si="6"/>
        <v>0</v>
      </c>
      <c r="M27" s="675"/>
      <c r="N27" s="530"/>
      <c r="O27" s="530"/>
      <c r="P27" s="530"/>
      <c r="Q27" s="530"/>
      <c r="R27" s="530"/>
      <c r="S27" s="530"/>
      <c r="T27" s="530"/>
      <c r="U27" s="530"/>
      <c r="V27" s="530"/>
      <c r="W27" s="530"/>
      <c r="X27" s="530" t="s">
        <v>510</v>
      </c>
    </row>
    <row r="28" spans="1:53" s="557" customFormat="1" ht="13.5">
      <c r="A28" s="560" t="s">
        <v>770</v>
      </c>
      <c r="B28" s="690" t="s">
        <v>776</v>
      </c>
      <c r="C28" s="560"/>
      <c r="D28" s="560"/>
      <c r="E28" s="563">
        <f>E29+E30</f>
        <v>1300000</v>
      </c>
      <c r="F28" s="563">
        <f t="shared" ref="F28:N28" si="8">F29+F30</f>
        <v>0</v>
      </c>
      <c r="G28" s="563">
        <f t="shared" si="8"/>
        <v>1300000</v>
      </c>
      <c r="H28" s="563">
        <f t="shared" si="8"/>
        <v>0</v>
      </c>
      <c r="I28" s="563">
        <f t="shared" si="8"/>
        <v>0</v>
      </c>
      <c r="J28" s="563">
        <f t="shared" si="8"/>
        <v>0</v>
      </c>
      <c r="K28" s="563">
        <f t="shared" si="8"/>
        <v>0</v>
      </c>
      <c r="L28" s="563">
        <f t="shared" si="8"/>
        <v>0</v>
      </c>
      <c r="M28" s="563">
        <f t="shared" si="8"/>
        <v>0</v>
      </c>
      <c r="N28" s="563">
        <f t="shared" si="8"/>
        <v>0</v>
      </c>
      <c r="O28" s="563">
        <f t="shared" ref="O28:W28" si="9">O29</f>
        <v>0</v>
      </c>
      <c r="P28" s="563">
        <f t="shared" si="9"/>
        <v>0</v>
      </c>
      <c r="Q28" s="563">
        <f t="shared" si="9"/>
        <v>0</v>
      </c>
      <c r="R28" s="563">
        <f t="shared" si="9"/>
        <v>0</v>
      </c>
      <c r="S28" s="563">
        <f t="shared" si="9"/>
        <v>0</v>
      </c>
      <c r="T28" s="563">
        <f t="shared" si="9"/>
        <v>0</v>
      </c>
      <c r="U28" s="563">
        <f t="shared" si="9"/>
        <v>0</v>
      </c>
      <c r="V28" s="563">
        <f t="shared" si="9"/>
        <v>0</v>
      </c>
      <c r="W28" s="563">
        <f t="shared" si="9"/>
        <v>0</v>
      </c>
      <c r="X28" s="560"/>
      <c r="Y28" s="561"/>
      <c r="Z28" s="561"/>
      <c r="AA28" s="561"/>
      <c r="AB28" s="561"/>
      <c r="AC28" s="561"/>
      <c r="AD28" s="561"/>
      <c r="AE28" s="561"/>
      <c r="AF28" s="561"/>
      <c r="AG28" s="561"/>
      <c r="AH28" s="561"/>
      <c r="AI28" s="561"/>
      <c r="AJ28" s="561"/>
      <c r="AK28" s="561"/>
      <c r="AL28" s="561"/>
      <c r="AM28" s="561"/>
      <c r="AN28" s="561"/>
      <c r="AO28" s="561"/>
      <c r="AP28" s="561"/>
      <c r="AQ28" s="561"/>
      <c r="AR28" s="561"/>
      <c r="AS28" s="561"/>
      <c r="AT28" s="561"/>
      <c r="AU28" s="561"/>
      <c r="AV28" s="561"/>
      <c r="AW28" s="561"/>
      <c r="AX28" s="561"/>
      <c r="AY28" s="561"/>
      <c r="AZ28" s="561"/>
      <c r="BA28" s="561"/>
    </row>
    <row r="29" spans="1:53" ht="51">
      <c r="A29" s="530" t="s">
        <v>878</v>
      </c>
      <c r="B29" s="742" t="s">
        <v>875</v>
      </c>
      <c r="C29" s="530"/>
      <c r="D29" s="530"/>
      <c r="E29" s="529">
        <f>F29+G29</f>
        <v>500000</v>
      </c>
      <c r="F29" s="530"/>
      <c r="G29" s="529">
        <v>500000</v>
      </c>
      <c r="H29" s="529">
        <f>I29+L29</f>
        <v>0</v>
      </c>
      <c r="I29" s="530"/>
      <c r="J29" s="530"/>
      <c r="K29" s="530"/>
      <c r="L29" s="677">
        <f t="shared" si="6"/>
        <v>0</v>
      </c>
      <c r="M29" s="674"/>
      <c r="N29" s="530"/>
      <c r="O29" s="530"/>
      <c r="P29" s="530"/>
      <c r="Q29" s="530"/>
      <c r="R29" s="530"/>
      <c r="S29" s="530"/>
      <c r="T29" s="530"/>
      <c r="U29" s="530"/>
      <c r="V29" s="530"/>
      <c r="W29" s="530"/>
      <c r="X29" s="530" t="s">
        <v>510</v>
      </c>
    </row>
    <row r="30" spans="1:53" ht="38.25">
      <c r="A30" s="530" t="s">
        <v>879</v>
      </c>
      <c r="B30" s="742" t="s">
        <v>876</v>
      </c>
      <c r="C30" s="530"/>
      <c r="D30" s="530"/>
      <c r="E30" s="529">
        <f>F30+G30</f>
        <v>800000</v>
      </c>
      <c r="F30" s="530"/>
      <c r="G30" s="529">
        <v>800000</v>
      </c>
      <c r="H30" s="529">
        <f>I30+L30</f>
        <v>0</v>
      </c>
      <c r="I30" s="530"/>
      <c r="J30" s="530"/>
      <c r="K30" s="530"/>
      <c r="L30" s="677">
        <f t="shared" si="6"/>
        <v>0</v>
      </c>
      <c r="M30" s="674"/>
      <c r="N30" s="530"/>
      <c r="O30" s="530"/>
      <c r="P30" s="530"/>
      <c r="Q30" s="530"/>
      <c r="R30" s="530"/>
      <c r="S30" s="530"/>
      <c r="T30" s="530"/>
      <c r="U30" s="530"/>
      <c r="V30" s="530"/>
      <c r="W30" s="530"/>
      <c r="X30" s="530" t="s">
        <v>510</v>
      </c>
    </row>
    <row r="31" spans="1:53" s="557" customFormat="1" ht="13.5">
      <c r="A31" s="560" t="s">
        <v>771</v>
      </c>
      <c r="B31" s="690" t="s">
        <v>789</v>
      </c>
      <c r="C31" s="560"/>
      <c r="D31" s="560"/>
      <c r="E31" s="563">
        <f>E32</f>
        <v>400000</v>
      </c>
      <c r="F31" s="563">
        <f t="shared" ref="F31:N31" si="10">F32</f>
        <v>0</v>
      </c>
      <c r="G31" s="563">
        <f t="shared" si="10"/>
        <v>400000</v>
      </c>
      <c r="H31" s="563">
        <f t="shared" si="10"/>
        <v>0</v>
      </c>
      <c r="I31" s="563">
        <f t="shared" si="10"/>
        <v>0</v>
      </c>
      <c r="J31" s="563">
        <f t="shared" si="10"/>
        <v>0</v>
      </c>
      <c r="K31" s="563">
        <f t="shared" si="10"/>
        <v>0</v>
      </c>
      <c r="L31" s="563">
        <f t="shared" si="10"/>
        <v>0</v>
      </c>
      <c r="M31" s="563">
        <f t="shared" si="10"/>
        <v>0</v>
      </c>
      <c r="N31" s="563">
        <f t="shared" si="10"/>
        <v>0</v>
      </c>
      <c r="O31" s="563" t="e">
        <f>O32+#REF!</f>
        <v>#REF!</v>
      </c>
      <c r="P31" s="563" t="e">
        <f>P32+#REF!</f>
        <v>#REF!</v>
      </c>
      <c r="Q31" s="563" t="e">
        <f>Q32+#REF!</f>
        <v>#REF!</v>
      </c>
      <c r="R31" s="563" t="e">
        <f>R32+#REF!</f>
        <v>#REF!</v>
      </c>
      <c r="S31" s="563" t="e">
        <f>S32+#REF!</f>
        <v>#REF!</v>
      </c>
      <c r="T31" s="563" t="e">
        <f>T32+#REF!</f>
        <v>#REF!</v>
      </c>
      <c r="U31" s="563" t="e">
        <f>U32+#REF!</f>
        <v>#REF!</v>
      </c>
      <c r="V31" s="563"/>
      <c r="W31" s="563"/>
      <c r="X31" s="560"/>
      <c r="Y31" s="561"/>
      <c r="Z31" s="561"/>
      <c r="AA31" s="561"/>
      <c r="AB31" s="561"/>
      <c r="AC31" s="561"/>
      <c r="AD31" s="561"/>
      <c r="AE31" s="561"/>
      <c r="AF31" s="561"/>
      <c r="AG31" s="561"/>
      <c r="AH31" s="561"/>
      <c r="AI31" s="561"/>
      <c r="AJ31" s="561"/>
      <c r="AK31" s="561"/>
      <c r="AL31" s="561"/>
      <c r="AM31" s="561"/>
      <c r="AN31" s="561"/>
      <c r="AO31" s="561"/>
      <c r="AP31" s="561"/>
      <c r="AQ31" s="561"/>
      <c r="AR31" s="561"/>
      <c r="AS31" s="561"/>
      <c r="AT31" s="561"/>
      <c r="AU31" s="561"/>
      <c r="AV31" s="561"/>
      <c r="AW31" s="561"/>
      <c r="AX31" s="561"/>
      <c r="AY31" s="561"/>
      <c r="AZ31" s="561"/>
      <c r="BA31" s="561"/>
    </row>
    <row r="32" spans="1:53" ht="25.5">
      <c r="A32" s="600" t="s">
        <v>880</v>
      </c>
      <c r="B32" s="705" t="s">
        <v>773</v>
      </c>
      <c r="C32" s="530"/>
      <c r="D32" s="530"/>
      <c r="E32" s="529">
        <f>F32+G32</f>
        <v>400000</v>
      </c>
      <c r="F32" s="529">
        <v>0</v>
      </c>
      <c r="G32" s="529">
        <v>400000</v>
      </c>
      <c r="H32" s="529">
        <f>I32+J32</f>
        <v>0</v>
      </c>
      <c r="I32" s="529">
        <f>J32+K32</f>
        <v>0</v>
      </c>
      <c r="J32" s="529">
        <v>0</v>
      </c>
      <c r="K32" s="529">
        <v>0</v>
      </c>
      <c r="L32" s="677">
        <f>M32+N32</f>
        <v>0</v>
      </c>
      <c r="M32" s="529">
        <v>0</v>
      </c>
      <c r="N32" s="529">
        <v>0</v>
      </c>
      <c r="O32" s="529" t="e">
        <f>SUM(#REF!)</f>
        <v>#REF!</v>
      </c>
      <c r="P32" s="529" t="e">
        <f>SUM(#REF!)</f>
        <v>#REF!</v>
      </c>
      <c r="Q32" s="529" t="e">
        <f>SUM(#REF!)</f>
        <v>#REF!</v>
      </c>
      <c r="R32" s="530"/>
      <c r="S32" s="530"/>
      <c r="T32" s="530"/>
      <c r="U32" s="530"/>
      <c r="V32" s="530"/>
      <c r="W32" s="530"/>
      <c r="X32" s="530" t="s">
        <v>882</v>
      </c>
    </row>
    <row r="33" spans="1:53" s="557" customFormat="1" ht="13.5">
      <c r="A33" s="684" t="s">
        <v>772</v>
      </c>
      <c r="B33" s="564" t="s">
        <v>831</v>
      </c>
      <c r="C33" s="560"/>
      <c r="D33" s="560"/>
      <c r="E33" s="685">
        <f>E34</f>
        <v>503522</v>
      </c>
      <c r="F33" s="685">
        <f t="shared" ref="F33:W33" si="11">F34</f>
        <v>0</v>
      </c>
      <c r="G33" s="685">
        <f t="shared" si="11"/>
        <v>503522</v>
      </c>
      <c r="H33" s="685">
        <f t="shared" si="11"/>
        <v>0</v>
      </c>
      <c r="I33" s="685">
        <f t="shared" si="11"/>
        <v>0</v>
      </c>
      <c r="J33" s="685">
        <f t="shared" si="11"/>
        <v>0</v>
      </c>
      <c r="K33" s="685">
        <f t="shared" si="11"/>
        <v>0</v>
      </c>
      <c r="L33" s="685">
        <f t="shared" si="11"/>
        <v>0</v>
      </c>
      <c r="M33" s="685">
        <f t="shared" si="11"/>
        <v>0</v>
      </c>
      <c r="N33" s="685">
        <f t="shared" si="11"/>
        <v>0</v>
      </c>
      <c r="O33" s="685">
        <f t="shared" si="11"/>
        <v>0</v>
      </c>
      <c r="P33" s="685">
        <f t="shared" si="11"/>
        <v>0</v>
      </c>
      <c r="Q33" s="685">
        <f t="shared" si="11"/>
        <v>0</v>
      </c>
      <c r="R33" s="685">
        <f t="shared" si="11"/>
        <v>0</v>
      </c>
      <c r="S33" s="685">
        <f t="shared" si="11"/>
        <v>0</v>
      </c>
      <c r="T33" s="685">
        <f t="shared" si="11"/>
        <v>0</v>
      </c>
      <c r="U33" s="685">
        <f t="shared" si="11"/>
        <v>0</v>
      </c>
      <c r="V33" s="685">
        <f t="shared" si="11"/>
        <v>0</v>
      </c>
      <c r="W33" s="685">
        <f t="shared" si="11"/>
        <v>0</v>
      </c>
      <c r="X33" s="685"/>
      <c r="Y33" s="683"/>
      <c r="Z33" s="683"/>
      <c r="AA33" s="683"/>
      <c r="AB33" s="561"/>
      <c r="AC33" s="561"/>
      <c r="AD33" s="561"/>
      <c r="AE33" s="561"/>
      <c r="AF33" s="561"/>
      <c r="AG33" s="561"/>
      <c r="AH33" s="561"/>
      <c r="AI33" s="561"/>
      <c r="AJ33" s="561"/>
      <c r="AK33" s="561"/>
      <c r="AL33" s="561"/>
      <c r="AM33" s="561"/>
      <c r="AN33" s="561"/>
      <c r="AO33" s="561"/>
      <c r="AP33" s="561"/>
      <c r="AQ33" s="561"/>
      <c r="AR33" s="561"/>
      <c r="AS33" s="561"/>
      <c r="AT33" s="561"/>
      <c r="AU33" s="561"/>
      <c r="AV33" s="561"/>
      <c r="AW33" s="561"/>
      <c r="AX33" s="561"/>
      <c r="AY33" s="561"/>
      <c r="AZ33" s="561"/>
      <c r="BA33" s="561"/>
    </row>
    <row r="34" spans="1:53" s="580" customFormat="1">
      <c r="A34" s="600" t="s">
        <v>881</v>
      </c>
      <c r="B34" s="743" t="s">
        <v>223</v>
      </c>
      <c r="C34" s="581"/>
      <c r="D34" s="581"/>
      <c r="E34" s="587">
        <f>F34+G34</f>
        <v>503522</v>
      </c>
      <c r="F34" s="581"/>
      <c r="G34" s="588">
        <v>503522</v>
      </c>
      <c r="H34" s="529">
        <f>I34+L34</f>
        <v>0</v>
      </c>
      <c r="I34" s="581"/>
      <c r="J34" s="581"/>
      <c r="K34" s="601"/>
      <c r="L34" s="707">
        <f>M34+N34</f>
        <v>0</v>
      </c>
      <c r="M34" s="676"/>
      <c r="N34" s="581"/>
      <c r="O34" s="581"/>
      <c r="P34" s="581"/>
      <c r="Q34" s="581"/>
      <c r="R34" s="581"/>
      <c r="S34" s="581"/>
      <c r="T34" s="581"/>
      <c r="U34" s="581"/>
      <c r="V34" s="581"/>
      <c r="W34" s="581"/>
      <c r="X34" s="694" t="s">
        <v>286</v>
      </c>
      <c r="Y34" s="549"/>
      <c r="Z34" s="549"/>
      <c r="AA34" s="549"/>
      <c r="AB34" s="549"/>
      <c r="AC34" s="549"/>
      <c r="AD34" s="549"/>
      <c r="AE34" s="549"/>
      <c r="AF34" s="549"/>
      <c r="AG34" s="549"/>
      <c r="AH34" s="549"/>
      <c r="AI34" s="549"/>
      <c r="AJ34" s="549"/>
      <c r="AK34" s="549"/>
      <c r="AL34" s="549"/>
      <c r="AM34" s="549"/>
      <c r="AN34" s="549"/>
      <c r="AO34" s="549"/>
      <c r="AP34" s="549"/>
      <c r="AQ34" s="549"/>
      <c r="AR34" s="549"/>
      <c r="AS34" s="549"/>
      <c r="AT34" s="549"/>
      <c r="AU34" s="549"/>
      <c r="AV34" s="549"/>
      <c r="AW34" s="549"/>
      <c r="AX34" s="549"/>
      <c r="AY34" s="549"/>
      <c r="AZ34" s="549"/>
      <c r="BA34" s="549"/>
    </row>
    <row r="35" spans="1:53" s="580" customFormat="1">
      <c r="A35" s="680"/>
      <c r="B35" s="681"/>
      <c r="C35" s="596"/>
      <c r="D35" s="596"/>
      <c r="E35" s="597"/>
      <c r="F35" s="596"/>
      <c r="G35" s="598"/>
      <c r="H35" s="599"/>
      <c r="I35" s="596"/>
      <c r="J35" s="596"/>
      <c r="K35" s="682"/>
      <c r="L35" s="598"/>
      <c r="M35" s="596"/>
      <c r="N35" s="596"/>
      <c r="O35" s="596"/>
      <c r="P35" s="596"/>
      <c r="Q35" s="596"/>
      <c r="R35" s="596"/>
      <c r="S35" s="596"/>
      <c r="T35" s="596"/>
      <c r="U35" s="596"/>
      <c r="V35" s="596"/>
      <c r="W35" s="596"/>
      <c r="X35" s="695"/>
      <c r="Y35" s="549"/>
      <c r="Z35" s="549"/>
      <c r="AA35" s="549"/>
      <c r="AB35" s="549"/>
      <c r="AC35" s="549"/>
      <c r="AD35" s="549"/>
      <c r="AE35" s="549"/>
      <c r="AF35" s="549"/>
      <c r="AG35" s="549"/>
      <c r="AH35" s="549"/>
      <c r="AI35" s="549"/>
      <c r="AJ35" s="549"/>
      <c r="AK35" s="549"/>
      <c r="AL35" s="549"/>
      <c r="AM35" s="549"/>
      <c r="AN35" s="549"/>
      <c r="AO35" s="549"/>
      <c r="AP35" s="549"/>
      <c r="AQ35" s="549"/>
      <c r="AR35" s="549"/>
      <c r="AS35" s="549"/>
      <c r="AT35" s="549"/>
      <c r="AU35" s="549"/>
      <c r="AV35" s="549"/>
      <c r="AW35" s="549"/>
      <c r="AX35" s="549"/>
      <c r="AY35" s="549"/>
      <c r="AZ35" s="549"/>
      <c r="BA35" s="549"/>
    </row>
    <row r="36" spans="1:53" ht="12.75" customHeight="1">
      <c r="A36" s="546" t="s">
        <v>26</v>
      </c>
      <c r="K36" s="544"/>
      <c r="L36" s="544"/>
      <c r="M36" s="544"/>
      <c r="N36" s="544"/>
      <c r="P36" s="829"/>
      <c r="Q36" s="829"/>
      <c r="R36" s="829"/>
      <c r="S36" s="829"/>
      <c r="T36" s="829"/>
      <c r="U36" s="829"/>
      <c r="V36" s="829"/>
      <c r="W36" s="829"/>
      <c r="X36" s="548"/>
    </row>
    <row r="37" spans="1:53" ht="12.75" customHeight="1">
      <c r="A37" s="567" t="s">
        <v>778</v>
      </c>
      <c r="B37" s="477"/>
      <c r="K37" s="562"/>
      <c r="L37" s="562"/>
      <c r="M37" s="562"/>
      <c r="N37" s="562"/>
      <c r="P37" s="821"/>
      <c r="Q37" s="821"/>
      <c r="R37" s="821"/>
      <c r="S37" s="821"/>
      <c r="T37" s="821"/>
      <c r="U37" s="821"/>
      <c r="V37" s="821"/>
      <c r="W37" s="821"/>
    </row>
    <row r="42" spans="1:53" ht="15" customHeight="1">
      <c r="Q42" s="820"/>
      <c r="R42" s="820"/>
      <c r="S42" s="820"/>
      <c r="T42" s="820"/>
      <c r="U42" s="820"/>
      <c r="V42" s="820"/>
      <c r="W42" s="820"/>
      <c r="X42" s="550"/>
    </row>
  </sheetData>
  <mergeCells count="41">
    <mergeCell ref="A4:D4"/>
    <mergeCell ref="A7:W7"/>
    <mergeCell ref="A6:W6"/>
    <mergeCell ref="C9:C12"/>
    <mergeCell ref="D9:D12"/>
    <mergeCell ref="H9:N9"/>
    <mergeCell ref="A9:A12"/>
    <mergeCell ref="I11:I12"/>
    <mergeCell ref="L11:L12"/>
    <mergeCell ref="E10:E12"/>
    <mergeCell ref="H10:H12"/>
    <mergeCell ref="A1:D1"/>
    <mergeCell ref="E1:W1"/>
    <mergeCell ref="A2:D2"/>
    <mergeCell ref="E2:W2"/>
    <mergeCell ref="A3:D3"/>
    <mergeCell ref="E3:W3"/>
    <mergeCell ref="G10:G12"/>
    <mergeCell ref="B9:B12"/>
    <mergeCell ref="M11:N11"/>
    <mergeCell ref="Q42:W42"/>
    <mergeCell ref="P37:W37"/>
    <mergeCell ref="S9:W9"/>
    <mergeCell ref="Q11:Q12"/>
    <mergeCell ref="J11:K11"/>
    <mergeCell ref="I10:K10"/>
    <mergeCell ref="P36:W36"/>
    <mergeCell ref="P11:P12"/>
    <mergeCell ref="E9:G9"/>
    <mergeCell ref="F10:F12"/>
    <mergeCell ref="L10:N10"/>
    <mergeCell ref="X9:X12"/>
    <mergeCell ref="V10:V12"/>
    <mergeCell ref="W10:W12"/>
    <mergeCell ref="U10:U12"/>
    <mergeCell ref="O10:O12"/>
    <mergeCell ref="O9:Q9"/>
    <mergeCell ref="P10:Q10"/>
    <mergeCell ref="R9:R12"/>
    <mergeCell ref="S10:S12"/>
    <mergeCell ref="T10:T12"/>
  </mergeCells>
  <pageMargins left="0.5" right="0.23" top="0.75" bottom="0.75" header="0.3" footer="0.3"/>
  <pageSetup paperSize="8" scale="95" orientation="landscape" r:id="rId1"/>
  <headerFooter>
    <oddFooter>Page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topLeftCell="A9" workbookViewId="0">
      <selection activeCell="C16" activeCellId="1" sqref="C22 C16"/>
    </sheetView>
  </sheetViews>
  <sheetFormatPr defaultRowHeight="15.75"/>
  <cols>
    <col min="1" max="1" width="6.28515625" style="621" customWidth="1"/>
    <col min="2" max="2" width="45.5703125" style="603" customWidth="1"/>
    <col min="3" max="3" width="15.7109375" style="607" bestFit="1" customWidth="1"/>
    <col min="4" max="4" width="14.28515625" style="607" customWidth="1"/>
    <col min="5" max="5" width="11.140625" style="607" bestFit="1" customWidth="1"/>
    <col min="6" max="6" width="9.28515625" style="603" bestFit="1" customWidth="1"/>
    <col min="7" max="7" width="9.140625" style="603"/>
    <col min="8" max="8" width="15.140625" style="603" customWidth="1"/>
    <col min="9" max="16384" width="9.140625" style="603"/>
  </cols>
  <sheetData>
    <row r="1" spans="1:8">
      <c r="A1" s="862" t="s">
        <v>794</v>
      </c>
      <c r="B1" s="862"/>
      <c r="C1" s="862"/>
      <c r="D1" s="862"/>
      <c r="E1" s="862"/>
      <c r="F1" s="862"/>
    </row>
    <row r="2" spans="1:8">
      <c r="E2" s="861" t="s">
        <v>804</v>
      </c>
      <c r="F2" s="861"/>
    </row>
    <row r="3" spans="1:8">
      <c r="A3" s="606" t="s">
        <v>3</v>
      </c>
      <c r="B3" s="606" t="s">
        <v>130</v>
      </c>
      <c r="C3" s="608" t="s">
        <v>795</v>
      </c>
      <c r="D3" s="608" t="s">
        <v>796</v>
      </c>
      <c r="E3" s="608" t="s">
        <v>797</v>
      </c>
      <c r="F3" s="606" t="s">
        <v>49</v>
      </c>
    </row>
    <row r="4" spans="1:8" s="611" customFormat="1">
      <c r="A4" s="606" t="s">
        <v>19</v>
      </c>
      <c r="B4" s="605" t="s">
        <v>798</v>
      </c>
      <c r="C4" s="617">
        <f>C5+C7</f>
        <v>294125.94099999999</v>
      </c>
      <c r="D4" s="617">
        <f>D5+D7</f>
        <v>98011.027260000003</v>
      </c>
      <c r="E4" s="614">
        <f>D4/C4</f>
        <v>0.33322809585163388</v>
      </c>
      <c r="F4" s="605"/>
    </row>
    <row r="5" spans="1:8" s="613" customFormat="1">
      <c r="A5" s="622" t="s">
        <v>9</v>
      </c>
      <c r="B5" s="612" t="s">
        <v>806</v>
      </c>
      <c r="C5" s="618">
        <f>C6</f>
        <v>250164.55600000001</v>
      </c>
      <c r="D5" s="618">
        <f>D6</f>
        <v>79608.495999999999</v>
      </c>
      <c r="E5" s="616">
        <f t="shared" ref="E5:E20" si="0">D5/C5</f>
        <v>0.31822452098290055</v>
      </c>
      <c r="F5" s="624">
        <f>F6</f>
        <v>0</v>
      </c>
    </row>
    <row r="6" spans="1:8">
      <c r="A6" s="623">
        <v>1</v>
      </c>
      <c r="B6" s="604" t="s">
        <v>799</v>
      </c>
      <c r="C6" s="619">
        <v>250164.55600000001</v>
      </c>
      <c r="D6" s="619">
        <v>79608.495999999999</v>
      </c>
      <c r="E6" s="615">
        <f t="shared" si="0"/>
        <v>0.31822452098290055</v>
      </c>
      <c r="F6" s="604"/>
    </row>
    <row r="7" spans="1:8" s="613" customFormat="1">
      <c r="A7" s="622" t="s">
        <v>10</v>
      </c>
      <c r="B7" s="612" t="s">
        <v>807</v>
      </c>
      <c r="C7" s="618">
        <f>SUM(C8:C13)</f>
        <v>43961.385000000009</v>
      </c>
      <c r="D7" s="618">
        <f>SUM(D8:D13)</f>
        <v>18402.531260000003</v>
      </c>
      <c r="E7" s="616">
        <f t="shared" si="0"/>
        <v>0.41860672178549424</v>
      </c>
      <c r="F7" s="612"/>
    </row>
    <row r="8" spans="1:8">
      <c r="A8" s="623">
        <v>1</v>
      </c>
      <c r="B8" s="604" t="s">
        <v>799</v>
      </c>
      <c r="C8" s="619">
        <v>38973.376000000004</v>
      </c>
      <c r="D8" s="619">
        <v>17512.686000000002</v>
      </c>
      <c r="E8" s="615">
        <f t="shared" si="0"/>
        <v>0.44934998702704121</v>
      </c>
      <c r="F8" s="604"/>
    </row>
    <row r="9" spans="1:8">
      <c r="A9" s="623">
        <v>2</v>
      </c>
      <c r="B9" s="604" t="s">
        <v>800</v>
      </c>
      <c r="C9" s="620">
        <v>1500</v>
      </c>
      <c r="D9" s="619">
        <v>889.84526000000005</v>
      </c>
      <c r="E9" s="615">
        <f t="shared" si="0"/>
        <v>0.59323017333333339</v>
      </c>
      <c r="F9" s="604"/>
    </row>
    <row r="10" spans="1:8" hidden="1">
      <c r="A10" s="623">
        <v>3</v>
      </c>
      <c r="B10" s="604" t="s">
        <v>801</v>
      </c>
      <c r="C10" s="619">
        <v>942.13699999999994</v>
      </c>
      <c r="D10" s="609">
        <v>0</v>
      </c>
      <c r="E10" s="615">
        <f t="shared" si="0"/>
        <v>0</v>
      </c>
      <c r="F10" s="604"/>
    </row>
    <row r="11" spans="1:8" hidden="1">
      <c r="A11" s="623">
        <v>4</v>
      </c>
      <c r="B11" s="604" t="s">
        <v>802</v>
      </c>
      <c r="C11" s="619">
        <v>1221.6949999999999</v>
      </c>
      <c r="D11" s="609">
        <v>0</v>
      </c>
      <c r="E11" s="615">
        <f t="shared" si="0"/>
        <v>0</v>
      </c>
      <c r="F11" s="604"/>
      <c r="H11" s="610"/>
    </row>
    <row r="12" spans="1:8" hidden="1">
      <c r="A12" s="623">
        <v>5</v>
      </c>
      <c r="B12" s="604" t="s">
        <v>803</v>
      </c>
      <c r="C12" s="619">
        <v>777.697</v>
      </c>
      <c r="D12" s="609">
        <v>0</v>
      </c>
      <c r="E12" s="615">
        <f t="shared" si="0"/>
        <v>0</v>
      </c>
      <c r="F12" s="604"/>
      <c r="H12" s="610"/>
    </row>
    <row r="13" spans="1:8" hidden="1">
      <c r="A13" s="623">
        <v>6</v>
      </c>
      <c r="B13" s="604" t="s">
        <v>805</v>
      </c>
      <c r="C13" s="619">
        <v>546.48</v>
      </c>
      <c r="D13" s="609">
        <v>0</v>
      </c>
      <c r="E13" s="615">
        <f t="shared" si="0"/>
        <v>0</v>
      </c>
      <c r="F13" s="604"/>
    </row>
    <row r="14" spans="1:8" s="611" customFormat="1">
      <c r="A14" s="606" t="s">
        <v>23</v>
      </c>
      <c r="B14" s="605" t="s">
        <v>808</v>
      </c>
      <c r="C14" s="617">
        <f>C15+C18+C21+C23+C25+C27+C29+C32+C35+C38+C40+C42+C44</f>
        <v>84630.439000000013</v>
      </c>
      <c r="D14" s="617">
        <f>D15+D18+D21+D23+D25+D27+D29+D32+D35+D38+D40+D42+D44</f>
        <v>24411.786999999993</v>
      </c>
      <c r="E14" s="614">
        <f t="shared" si="0"/>
        <v>0.28845161727212582</v>
      </c>
      <c r="F14" s="605"/>
      <c r="H14" s="637"/>
    </row>
    <row r="15" spans="1:8" s="613" customFormat="1">
      <c r="A15" s="622" t="s">
        <v>9</v>
      </c>
      <c r="B15" s="612" t="s">
        <v>786</v>
      </c>
      <c r="C15" s="627">
        <f>C16+C17</f>
        <v>16100</v>
      </c>
      <c r="D15" s="618">
        <f>D16+D17</f>
        <v>5963.58</v>
      </c>
      <c r="E15" s="616">
        <f t="shared" si="0"/>
        <v>0.37040869565217394</v>
      </c>
      <c r="F15" s="612"/>
      <c r="H15" s="638"/>
    </row>
    <row r="16" spans="1:8">
      <c r="A16" s="623">
        <v>1</v>
      </c>
      <c r="B16" s="604" t="s">
        <v>799</v>
      </c>
      <c r="C16" s="620">
        <v>12100</v>
      </c>
      <c r="D16" s="619">
        <v>2839.4720000000002</v>
      </c>
      <c r="E16" s="615">
        <f t="shared" si="0"/>
        <v>0.23466710743801655</v>
      </c>
      <c r="F16" s="604"/>
    </row>
    <row r="17" spans="1:8">
      <c r="A17" s="623">
        <v>2</v>
      </c>
      <c r="B17" s="604" t="s">
        <v>809</v>
      </c>
      <c r="C17" s="620">
        <v>4000</v>
      </c>
      <c r="D17" s="619">
        <v>3124.1080000000002</v>
      </c>
      <c r="E17" s="615">
        <f t="shared" si="0"/>
        <v>0.78102700000000003</v>
      </c>
      <c r="F17" s="604"/>
      <c r="H17" s="610"/>
    </row>
    <row r="18" spans="1:8" s="635" customFormat="1" ht="47.25">
      <c r="A18" s="630" t="s">
        <v>10</v>
      </c>
      <c r="B18" s="631" t="s">
        <v>810</v>
      </c>
      <c r="C18" s="618">
        <f>C19+C20</f>
        <v>6183.1409999999996</v>
      </c>
      <c r="D18" s="632"/>
      <c r="E18" s="633">
        <f t="shared" si="0"/>
        <v>0</v>
      </c>
      <c r="F18" s="634"/>
    </row>
    <row r="19" spans="1:8">
      <c r="A19" s="623">
        <v>1</v>
      </c>
      <c r="B19" s="604" t="s">
        <v>799</v>
      </c>
      <c r="C19" s="620">
        <v>3520</v>
      </c>
      <c r="D19" s="609">
        <v>0</v>
      </c>
      <c r="E19" s="615">
        <f t="shared" si="0"/>
        <v>0</v>
      </c>
      <c r="F19" s="604"/>
    </row>
    <row r="20" spans="1:8">
      <c r="A20" s="623">
        <v>2</v>
      </c>
      <c r="B20" s="604" t="s">
        <v>809</v>
      </c>
      <c r="C20" s="619">
        <v>2663.1410000000001</v>
      </c>
      <c r="D20" s="609">
        <v>0</v>
      </c>
      <c r="E20" s="615">
        <f t="shared" si="0"/>
        <v>0</v>
      </c>
      <c r="F20" s="604"/>
    </row>
    <row r="21" spans="1:8" s="635" customFormat="1">
      <c r="A21" s="630" t="s">
        <v>92</v>
      </c>
      <c r="B21" s="631" t="s">
        <v>787</v>
      </c>
      <c r="C21" s="627">
        <f>C22</f>
        <v>18000</v>
      </c>
      <c r="D21" s="618">
        <f>D22</f>
        <v>8892.9599999999991</v>
      </c>
      <c r="E21" s="616">
        <f t="shared" ref="E21:E45" si="1">D21/C21</f>
        <v>0.49405333333333329</v>
      </c>
      <c r="F21" s="634"/>
    </row>
    <row r="22" spans="1:8">
      <c r="A22" s="623">
        <v>1</v>
      </c>
      <c r="B22" s="604" t="s">
        <v>799</v>
      </c>
      <c r="C22" s="620">
        <v>18000</v>
      </c>
      <c r="D22" s="619">
        <v>8892.9599999999991</v>
      </c>
      <c r="E22" s="615">
        <f t="shared" si="1"/>
        <v>0.49405333333333329</v>
      </c>
      <c r="F22" s="604"/>
    </row>
    <row r="23" spans="1:8" s="635" customFormat="1" ht="31.5" hidden="1">
      <c r="A23" s="630" t="s">
        <v>93</v>
      </c>
      <c r="B23" s="631" t="s">
        <v>811</v>
      </c>
      <c r="C23" s="618">
        <f>C24</f>
        <v>8004.1109999999999</v>
      </c>
      <c r="D23" s="627">
        <f>D24</f>
        <v>0</v>
      </c>
      <c r="E23" s="615">
        <f t="shared" si="1"/>
        <v>0</v>
      </c>
      <c r="F23" s="634"/>
    </row>
    <row r="24" spans="1:8" hidden="1">
      <c r="A24" s="623">
        <v>1</v>
      </c>
      <c r="B24" s="604" t="s">
        <v>799</v>
      </c>
      <c r="C24" s="619">
        <v>8004.1109999999999</v>
      </c>
      <c r="D24" s="609">
        <v>0</v>
      </c>
      <c r="E24" s="615">
        <f t="shared" si="1"/>
        <v>0</v>
      </c>
      <c r="F24" s="604"/>
    </row>
    <row r="25" spans="1:8" s="635" customFormat="1" ht="47.25" hidden="1">
      <c r="A25" s="630" t="s">
        <v>812</v>
      </c>
      <c r="B25" s="631" t="s">
        <v>792</v>
      </c>
      <c r="C25" s="627">
        <f>C26</f>
        <v>1410</v>
      </c>
      <c r="D25" s="618">
        <f>D26</f>
        <v>0</v>
      </c>
      <c r="E25" s="633">
        <f t="shared" si="1"/>
        <v>0</v>
      </c>
      <c r="F25" s="634"/>
    </row>
    <row r="26" spans="1:8" hidden="1">
      <c r="A26" s="623">
        <v>1</v>
      </c>
      <c r="B26" s="604" t="s">
        <v>815</v>
      </c>
      <c r="C26" s="620">
        <v>1410</v>
      </c>
      <c r="D26" s="609">
        <v>0</v>
      </c>
      <c r="E26" s="615">
        <f t="shared" si="1"/>
        <v>0</v>
      </c>
      <c r="F26" s="604"/>
    </row>
    <row r="27" spans="1:8" s="635" customFormat="1" ht="63" hidden="1">
      <c r="A27" s="630" t="s">
        <v>813</v>
      </c>
      <c r="B27" s="631" t="s">
        <v>793</v>
      </c>
      <c r="C27" s="618">
        <f>C28</f>
        <v>2235.94</v>
      </c>
      <c r="D27" s="618">
        <v>0</v>
      </c>
      <c r="E27" s="633">
        <f t="shared" si="1"/>
        <v>0</v>
      </c>
      <c r="F27" s="634"/>
    </row>
    <row r="28" spans="1:8" hidden="1">
      <c r="A28" s="623">
        <v>1</v>
      </c>
      <c r="B28" s="604" t="s">
        <v>799</v>
      </c>
      <c r="C28" s="619">
        <v>2235.94</v>
      </c>
      <c r="D28" s="609">
        <v>0</v>
      </c>
      <c r="E28" s="633">
        <f t="shared" si="1"/>
        <v>0</v>
      </c>
      <c r="F28" s="604"/>
    </row>
    <row r="29" spans="1:8" s="635" customFormat="1" ht="31.5" hidden="1">
      <c r="A29" s="630" t="s">
        <v>819</v>
      </c>
      <c r="B29" s="631" t="s">
        <v>818</v>
      </c>
      <c r="C29" s="618">
        <f>C30+C31</f>
        <v>4000</v>
      </c>
      <c r="D29" s="618">
        <f>D30+D31</f>
        <v>0</v>
      </c>
      <c r="E29" s="633">
        <f t="shared" si="1"/>
        <v>0</v>
      </c>
      <c r="F29" s="634"/>
    </row>
    <row r="30" spans="1:8" hidden="1">
      <c r="A30" s="623">
        <v>1</v>
      </c>
      <c r="B30" s="604" t="s">
        <v>809</v>
      </c>
      <c r="C30" s="620">
        <v>2500</v>
      </c>
      <c r="D30" s="609">
        <v>0</v>
      </c>
      <c r="E30" s="633">
        <f t="shared" si="1"/>
        <v>0</v>
      </c>
      <c r="F30" s="604"/>
    </row>
    <row r="31" spans="1:8" hidden="1">
      <c r="A31" s="623">
        <v>2</v>
      </c>
      <c r="B31" s="604" t="s">
        <v>817</v>
      </c>
      <c r="C31" s="620">
        <v>1500</v>
      </c>
      <c r="D31" s="609">
        <v>0</v>
      </c>
      <c r="E31" s="633">
        <f t="shared" si="1"/>
        <v>0</v>
      </c>
      <c r="F31" s="604"/>
    </row>
    <row r="32" spans="1:8" s="635" customFormat="1" ht="31.5">
      <c r="A32" s="630" t="s">
        <v>820</v>
      </c>
      <c r="B32" s="631" t="s">
        <v>785</v>
      </c>
      <c r="C32" s="627">
        <f>C33+C34</f>
        <v>12150</v>
      </c>
      <c r="D32" s="628">
        <f>D33+D34</f>
        <v>2596.1999999999998</v>
      </c>
      <c r="E32" s="633">
        <f t="shared" si="1"/>
        <v>0.21367901234567899</v>
      </c>
      <c r="F32" s="634"/>
    </row>
    <row r="33" spans="1:6">
      <c r="A33" s="623">
        <v>1</v>
      </c>
      <c r="B33" s="604" t="s">
        <v>814</v>
      </c>
      <c r="C33" s="620">
        <v>10000</v>
      </c>
      <c r="D33" s="625">
        <v>2596.1999999999998</v>
      </c>
      <c r="E33" s="633">
        <f t="shared" si="1"/>
        <v>0.25961999999999996</v>
      </c>
      <c r="F33" s="604"/>
    </row>
    <row r="34" spans="1:6">
      <c r="A34" s="623">
        <v>2</v>
      </c>
      <c r="B34" s="604" t="s">
        <v>805</v>
      </c>
      <c r="C34" s="620">
        <v>2150</v>
      </c>
      <c r="D34" s="609">
        <v>0</v>
      </c>
      <c r="E34" s="633">
        <f t="shared" si="1"/>
        <v>0</v>
      </c>
      <c r="F34" s="604"/>
    </row>
    <row r="35" spans="1:6" s="635" customFormat="1">
      <c r="A35" s="630" t="s">
        <v>821</v>
      </c>
      <c r="B35" s="631" t="s">
        <v>774</v>
      </c>
      <c r="C35" s="627">
        <f>C36+C37</f>
        <v>7050</v>
      </c>
      <c r="D35" s="618">
        <f>D36+D37</f>
        <v>2428.7439999999997</v>
      </c>
      <c r="E35" s="633">
        <f t="shared" si="1"/>
        <v>0.34450269503546094</v>
      </c>
      <c r="F35" s="634"/>
    </row>
    <row r="36" spans="1:6">
      <c r="A36" s="623">
        <v>1</v>
      </c>
      <c r="B36" s="604" t="s">
        <v>814</v>
      </c>
      <c r="C36" s="619">
        <v>1500</v>
      </c>
      <c r="D36" s="626">
        <v>1096.8119999999999</v>
      </c>
      <c r="E36" s="633">
        <f t="shared" si="1"/>
        <v>0.73120799999999997</v>
      </c>
      <c r="F36" s="604"/>
    </row>
    <row r="37" spans="1:6">
      <c r="A37" s="623">
        <v>2</v>
      </c>
      <c r="B37" s="604" t="s">
        <v>815</v>
      </c>
      <c r="C37" s="619">
        <v>5550</v>
      </c>
      <c r="D37" s="626">
        <v>1331.932</v>
      </c>
      <c r="E37" s="633">
        <f t="shared" si="1"/>
        <v>0.23998774774774775</v>
      </c>
      <c r="F37" s="604"/>
    </row>
    <row r="38" spans="1:6" s="635" customFormat="1">
      <c r="A38" s="630" t="s">
        <v>822</v>
      </c>
      <c r="B38" s="631" t="s">
        <v>775</v>
      </c>
      <c r="C38" s="618">
        <f>C39</f>
        <v>1722.069</v>
      </c>
      <c r="D38" s="618">
        <f>D39</f>
        <v>1017.67</v>
      </c>
      <c r="E38" s="633">
        <f t="shared" si="1"/>
        <v>0.59095773746580416</v>
      </c>
      <c r="F38" s="634"/>
    </row>
    <row r="39" spans="1:6">
      <c r="A39" s="623">
        <v>1</v>
      </c>
      <c r="B39" s="604" t="s">
        <v>814</v>
      </c>
      <c r="C39" s="619">
        <v>1722.069</v>
      </c>
      <c r="D39" s="626">
        <v>1017.67</v>
      </c>
      <c r="E39" s="633">
        <f t="shared" si="1"/>
        <v>0.59095773746580416</v>
      </c>
      <c r="F39" s="604"/>
    </row>
    <row r="40" spans="1:6" s="635" customFormat="1">
      <c r="A40" s="630" t="s">
        <v>823</v>
      </c>
      <c r="B40" s="631" t="s">
        <v>776</v>
      </c>
      <c r="C40" s="628">
        <f>C41</f>
        <v>589.5</v>
      </c>
      <c r="D40" s="618">
        <f>D41</f>
        <v>142.887</v>
      </c>
      <c r="E40" s="633">
        <f t="shared" si="1"/>
        <v>0.24238676844783716</v>
      </c>
      <c r="F40" s="634"/>
    </row>
    <row r="41" spans="1:6">
      <c r="A41" s="623">
        <v>2</v>
      </c>
      <c r="B41" s="604" t="s">
        <v>815</v>
      </c>
      <c r="C41" s="629">
        <v>589.5</v>
      </c>
      <c r="D41" s="626">
        <v>142.887</v>
      </c>
      <c r="E41" s="633">
        <f t="shared" si="1"/>
        <v>0.24238676844783716</v>
      </c>
      <c r="F41" s="604"/>
    </row>
    <row r="42" spans="1:6" s="635" customFormat="1">
      <c r="A42" s="630" t="s">
        <v>824</v>
      </c>
      <c r="B42" s="631" t="s">
        <v>826</v>
      </c>
      <c r="C42" s="627">
        <f>C43</f>
        <v>2300</v>
      </c>
      <c r="D42" s="618">
        <f>D43</f>
        <v>1331.02</v>
      </c>
      <c r="E42" s="633">
        <f t="shared" si="1"/>
        <v>0.57870434782608693</v>
      </c>
      <c r="F42" s="634"/>
    </row>
    <row r="43" spans="1:6">
      <c r="A43" s="623">
        <v>1</v>
      </c>
      <c r="B43" s="604" t="s">
        <v>809</v>
      </c>
      <c r="C43" s="620">
        <v>2300</v>
      </c>
      <c r="D43" s="636">
        <v>1331.02</v>
      </c>
      <c r="E43" s="639">
        <f t="shared" si="1"/>
        <v>0.57870434782608693</v>
      </c>
      <c r="F43" s="604"/>
    </row>
    <row r="44" spans="1:6" s="635" customFormat="1">
      <c r="A44" s="630" t="s">
        <v>825</v>
      </c>
      <c r="B44" s="631" t="s">
        <v>790</v>
      </c>
      <c r="C44" s="618">
        <f>C45</f>
        <v>4885.6779999999999</v>
      </c>
      <c r="D44" s="618">
        <f>D45</f>
        <v>2038.7260000000001</v>
      </c>
      <c r="E44" s="633">
        <f t="shared" si="1"/>
        <v>0.41728619855831683</v>
      </c>
      <c r="F44" s="634"/>
    </row>
    <row r="45" spans="1:6">
      <c r="A45" s="623">
        <v>1</v>
      </c>
      <c r="B45" s="604" t="s">
        <v>816</v>
      </c>
      <c r="C45" s="619">
        <v>4885.6779999999999</v>
      </c>
      <c r="D45" s="626">
        <v>2038.7260000000001</v>
      </c>
      <c r="E45" s="639">
        <f t="shared" si="1"/>
        <v>0.41728619855831683</v>
      </c>
      <c r="F45" s="604"/>
    </row>
    <row r="46" spans="1:6">
      <c r="A46" s="623"/>
      <c r="B46" s="604"/>
      <c r="C46" s="620"/>
      <c r="D46" s="609"/>
      <c r="E46" s="633"/>
      <c r="F46" s="604"/>
    </row>
  </sheetData>
  <mergeCells count="2">
    <mergeCell ref="E2:F2"/>
    <mergeCell ref="A1:F1"/>
  </mergeCells>
  <pageMargins left="0.33" right="0.2" top="0.75" bottom="0.75" header="0.3" footer="0.3"/>
  <pageSetup paperSize="9" scale="95"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election activeCell="B21" sqref="B21"/>
    </sheetView>
  </sheetViews>
  <sheetFormatPr defaultRowHeight="15.75"/>
  <cols>
    <col min="1" max="1" width="6.28515625" style="653" customWidth="1"/>
    <col min="2" max="2" width="36.42578125" style="652" customWidth="1"/>
    <col min="3" max="3" width="15.7109375" style="654" bestFit="1" customWidth="1"/>
    <col min="4" max="4" width="14.28515625" style="654" customWidth="1"/>
    <col min="5" max="5" width="11.140625" style="654" bestFit="1" customWidth="1"/>
    <col min="6" max="6" width="9.28515625" style="652" bestFit="1" customWidth="1"/>
    <col min="7" max="7" width="9.140625" style="652"/>
    <col min="8" max="8" width="15.140625" style="652" customWidth="1"/>
    <col min="9" max="16384" width="9.140625" style="652"/>
  </cols>
  <sheetData>
    <row r="1" spans="1:8">
      <c r="A1" s="863" t="s">
        <v>794</v>
      </c>
      <c r="B1" s="863"/>
      <c r="C1" s="863"/>
      <c r="D1" s="863"/>
      <c r="E1" s="863"/>
      <c r="F1" s="863"/>
    </row>
    <row r="2" spans="1:8">
      <c r="A2" s="865" t="s">
        <v>829</v>
      </c>
      <c r="B2" s="865"/>
      <c r="C2" s="865"/>
      <c r="D2" s="865"/>
      <c r="E2" s="865"/>
      <c r="F2" s="865"/>
    </row>
    <row r="3" spans="1:8">
      <c r="E3" s="864" t="s">
        <v>804</v>
      </c>
      <c r="F3" s="864"/>
    </row>
    <row r="4" spans="1:8">
      <c r="A4" s="655" t="s">
        <v>3</v>
      </c>
      <c r="B4" s="655" t="s">
        <v>130</v>
      </c>
      <c r="C4" s="656" t="s">
        <v>795</v>
      </c>
      <c r="D4" s="656" t="s">
        <v>796</v>
      </c>
      <c r="E4" s="656" t="s">
        <v>797</v>
      </c>
      <c r="F4" s="655" t="s">
        <v>49</v>
      </c>
    </row>
    <row r="5" spans="1:8" s="660" customFormat="1">
      <c r="A5" s="655" t="s">
        <v>19</v>
      </c>
      <c r="B5" s="657" t="s">
        <v>798</v>
      </c>
      <c r="C5" s="640">
        <f>C6+C8</f>
        <v>294125.94099999999</v>
      </c>
      <c r="D5" s="640">
        <f>D6+D8</f>
        <v>98970.123260000008</v>
      </c>
      <c r="E5" s="658">
        <f>D5/C5</f>
        <v>0.33648893029805899</v>
      </c>
      <c r="F5" s="659"/>
    </row>
    <row r="6" spans="1:8" s="635" customFormat="1">
      <c r="A6" s="630" t="s">
        <v>9</v>
      </c>
      <c r="B6" s="634" t="s">
        <v>806</v>
      </c>
      <c r="C6" s="641">
        <f>C7</f>
        <v>250164.55600000001</v>
      </c>
      <c r="D6" s="641">
        <f>D7</f>
        <v>80567.592000000004</v>
      </c>
      <c r="E6" s="647">
        <f t="shared" ref="E6:E46" si="0">D6/C6</f>
        <v>0.32205838144393245</v>
      </c>
      <c r="F6" s="642">
        <f>F7</f>
        <v>0</v>
      </c>
    </row>
    <row r="7" spans="1:8">
      <c r="A7" s="661">
        <v>1</v>
      </c>
      <c r="B7" s="662" t="s">
        <v>799</v>
      </c>
      <c r="C7" s="643">
        <v>250164.55600000001</v>
      </c>
      <c r="D7" s="643">
        <v>80567.592000000004</v>
      </c>
      <c r="E7" s="663">
        <f t="shared" si="0"/>
        <v>0.32205838144393245</v>
      </c>
      <c r="F7" s="664"/>
    </row>
    <row r="8" spans="1:8" s="635" customFormat="1">
      <c r="A8" s="630" t="s">
        <v>10</v>
      </c>
      <c r="B8" s="634" t="s">
        <v>807</v>
      </c>
      <c r="C8" s="641">
        <f>SUM(C9:C14)</f>
        <v>43961.385000000009</v>
      </c>
      <c r="D8" s="641">
        <f>SUM(D9:D14)</f>
        <v>18402.531260000003</v>
      </c>
      <c r="E8" s="647">
        <f t="shared" si="0"/>
        <v>0.41860672178549424</v>
      </c>
      <c r="F8" s="648"/>
    </row>
    <row r="9" spans="1:8">
      <c r="A9" s="661">
        <v>1</v>
      </c>
      <c r="B9" s="662" t="s">
        <v>799</v>
      </c>
      <c r="C9" s="643">
        <v>38973.376000000004</v>
      </c>
      <c r="D9" s="643">
        <v>17512.686000000002</v>
      </c>
      <c r="E9" s="663">
        <f t="shared" si="0"/>
        <v>0.44934998702704121</v>
      </c>
      <c r="F9" s="664"/>
    </row>
    <row r="10" spans="1:8">
      <c r="A10" s="661">
        <v>2</v>
      </c>
      <c r="B10" s="662" t="s">
        <v>800</v>
      </c>
      <c r="C10" s="644">
        <v>1500</v>
      </c>
      <c r="D10" s="643">
        <v>889.84526000000005</v>
      </c>
      <c r="E10" s="663">
        <f t="shared" si="0"/>
        <v>0.59323017333333339</v>
      </c>
      <c r="F10" s="664"/>
    </row>
    <row r="11" spans="1:8">
      <c r="A11" s="661">
        <v>3</v>
      </c>
      <c r="B11" s="662" t="s">
        <v>801</v>
      </c>
      <c r="C11" s="643">
        <v>942.13699999999994</v>
      </c>
      <c r="D11" s="665">
        <v>0</v>
      </c>
      <c r="E11" s="663">
        <f t="shared" si="0"/>
        <v>0</v>
      </c>
      <c r="F11" s="664"/>
    </row>
    <row r="12" spans="1:8">
      <c r="A12" s="661">
        <v>4</v>
      </c>
      <c r="B12" s="662" t="s">
        <v>802</v>
      </c>
      <c r="C12" s="643">
        <v>1221.6949999999999</v>
      </c>
      <c r="D12" s="665">
        <v>0</v>
      </c>
      <c r="E12" s="663">
        <f t="shared" si="0"/>
        <v>0</v>
      </c>
      <c r="F12" s="664"/>
      <c r="H12" s="666"/>
    </row>
    <row r="13" spans="1:8">
      <c r="A13" s="661">
        <v>5</v>
      </c>
      <c r="B13" s="662" t="s">
        <v>803</v>
      </c>
      <c r="C13" s="643">
        <v>777.697</v>
      </c>
      <c r="D13" s="665">
        <v>0</v>
      </c>
      <c r="E13" s="663">
        <f t="shared" si="0"/>
        <v>0</v>
      </c>
      <c r="F13" s="664"/>
      <c r="H13" s="666"/>
    </row>
    <row r="14" spans="1:8">
      <c r="A14" s="661">
        <v>6</v>
      </c>
      <c r="B14" s="662" t="s">
        <v>805</v>
      </c>
      <c r="C14" s="643">
        <v>546.48</v>
      </c>
      <c r="D14" s="665">
        <v>0</v>
      </c>
      <c r="E14" s="663">
        <f t="shared" si="0"/>
        <v>0</v>
      </c>
      <c r="F14" s="664"/>
    </row>
    <row r="15" spans="1:8" s="660" customFormat="1">
      <c r="A15" s="655" t="s">
        <v>23</v>
      </c>
      <c r="B15" s="657" t="s">
        <v>808</v>
      </c>
      <c r="C15" s="640">
        <f>C16+C19+C22+C24+C26+C28+C30+C33+C36+C39+C41+C43+C45</f>
        <v>84630.439000000013</v>
      </c>
      <c r="D15" s="640">
        <f>D16+D19+D22+D24+D26+D28+D30+D33+D36+D39+D41+D43+D45</f>
        <v>24411.786999999993</v>
      </c>
      <c r="E15" s="658">
        <f t="shared" si="0"/>
        <v>0.28845161727212582</v>
      </c>
      <c r="F15" s="659"/>
      <c r="H15" s="667"/>
    </row>
    <row r="16" spans="1:8" s="635" customFormat="1" ht="31.5">
      <c r="A16" s="630" t="s">
        <v>9</v>
      </c>
      <c r="B16" s="631" t="s">
        <v>827</v>
      </c>
      <c r="C16" s="645">
        <f>C17+C18</f>
        <v>16100</v>
      </c>
      <c r="D16" s="641">
        <f>D17+D18</f>
        <v>5963.58</v>
      </c>
      <c r="E16" s="647">
        <f t="shared" si="0"/>
        <v>0.37040869565217394</v>
      </c>
      <c r="F16" s="648"/>
      <c r="H16" s="668"/>
    </row>
    <row r="17" spans="1:8">
      <c r="A17" s="661">
        <v>1</v>
      </c>
      <c r="B17" s="662" t="s">
        <v>799</v>
      </c>
      <c r="C17" s="644">
        <v>12100</v>
      </c>
      <c r="D17" s="643">
        <v>2839.4720000000002</v>
      </c>
      <c r="E17" s="663">
        <f t="shared" si="0"/>
        <v>0.23466710743801655</v>
      </c>
      <c r="F17" s="664"/>
    </row>
    <row r="18" spans="1:8">
      <c r="A18" s="661">
        <v>2</v>
      </c>
      <c r="B18" s="662" t="s">
        <v>809</v>
      </c>
      <c r="C18" s="644">
        <v>4000</v>
      </c>
      <c r="D18" s="643">
        <v>3124.1080000000002</v>
      </c>
      <c r="E18" s="663">
        <f t="shared" si="0"/>
        <v>0.78102700000000003</v>
      </c>
      <c r="F18" s="664"/>
      <c r="H18" s="666"/>
    </row>
    <row r="19" spans="1:8" s="635" customFormat="1" ht="47.25">
      <c r="A19" s="630" t="s">
        <v>10</v>
      </c>
      <c r="B19" s="631" t="s">
        <v>828</v>
      </c>
      <c r="C19" s="641">
        <f>C20+C21</f>
        <v>6183.1409999999996</v>
      </c>
      <c r="D19" s="646"/>
      <c r="E19" s="647">
        <f t="shared" si="0"/>
        <v>0</v>
      </c>
      <c r="F19" s="648"/>
    </row>
    <row r="20" spans="1:8">
      <c r="A20" s="661">
        <v>1</v>
      </c>
      <c r="B20" s="662" t="s">
        <v>799</v>
      </c>
      <c r="C20" s="644">
        <v>3520</v>
      </c>
      <c r="D20" s="665">
        <v>0</v>
      </c>
      <c r="E20" s="663">
        <f t="shared" si="0"/>
        <v>0</v>
      </c>
      <c r="F20" s="664"/>
    </row>
    <row r="21" spans="1:8">
      <c r="A21" s="661">
        <v>2</v>
      </c>
      <c r="B21" s="662" t="s">
        <v>809</v>
      </c>
      <c r="C21" s="643">
        <v>2663.1410000000001</v>
      </c>
      <c r="D21" s="665">
        <v>0</v>
      </c>
      <c r="E21" s="663">
        <f t="shared" si="0"/>
        <v>0</v>
      </c>
      <c r="F21" s="664"/>
    </row>
    <row r="22" spans="1:8" s="635" customFormat="1" ht="31.5">
      <c r="A22" s="630" t="s">
        <v>92</v>
      </c>
      <c r="B22" s="631" t="s">
        <v>787</v>
      </c>
      <c r="C22" s="645">
        <f>C23</f>
        <v>18000</v>
      </c>
      <c r="D22" s="641">
        <f>D23</f>
        <v>8892.9599999999991</v>
      </c>
      <c r="E22" s="647">
        <f t="shared" si="0"/>
        <v>0.49405333333333329</v>
      </c>
      <c r="F22" s="648"/>
    </row>
    <row r="23" spans="1:8">
      <c r="A23" s="661">
        <v>1</v>
      </c>
      <c r="B23" s="662" t="s">
        <v>799</v>
      </c>
      <c r="C23" s="644">
        <v>18000</v>
      </c>
      <c r="D23" s="643">
        <v>8892.9599999999991</v>
      </c>
      <c r="E23" s="663">
        <f t="shared" si="0"/>
        <v>0.49405333333333329</v>
      </c>
      <c r="F23" s="664"/>
    </row>
    <row r="24" spans="1:8" s="635" customFormat="1" ht="49.5" customHeight="1">
      <c r="A24" s="630" t="s">
        <v>93</v>
      </c>
      <c r="B24" s="631" t="s">
        <v>811</v>
      </c>
      <c r="C24" s="641">
        <f>C25</f>
        <v>8004.1109999999999</v>
      </c>
      <c r="D24" s="645">
        <f>D25</f>
        <v>0</v>
      </c>
      <c r="E24" s="663">
        <f t="shared" si="0"/>
        <v>0</v>
      </c>
      <c r="F24" s="648"/>
    </row>
    <row r="25" spans="1:8">
      <c r="A25" s="661">
        <v>1</v>
      </c>
      <c r="B25" s="662" t="s">
        <v>799</v>
      </c>
      <c r="C25" s="643">
        <v>8004.1109999999999</v>
      </c>
      <c r="D25" s="665">
        <v>0</v>
      </c>
      <c r="E25" s="663">
        <f t="shared" si="0"/>
        <v>0</v>
      </c>
      <c r="F25" s="664"/>
    </row>
    <row r="26" spans="1:8" s="635" customFormat="1" ht="63">
      <c r="A26" s="630" t="s">
        <v>812</v>
      </c>
      <c r="B26" s="631" t="s">
        <v>792</v>
      </c>
      <c r="C26" s="645">
        <f>C27</f>
        <v>1410</v>
      </c>
      <c r="D26" s="641">
        <f>D27</f>
        <v>0</v>
      </c>
      <c r="E26" s="647">
        <f t="shared" si="0"/>
        <v>0</v>
      </c>
      <c r="F26" s="648"/>
    </row>
    <row r="27" spans="1:8">
      <c r="A27" s="661">
        <v>1</v>
      </c>
      <c r="B27" s="662" t="s">
        <v>815</v>
      </c>
      <c r="C27" s="644">
        <v>1410</v>
      </c>
      <c r="D27" s="665">
        <v>0</v>
      </c>
      <c r="E27" s="663">
        <f t="shared" si="0"/>
        <v>0</v>
      </c>
      <c r="F27" s="664"/>
    </row>
    <row r="28" spans="1:8" s="635" customFormat="1" ht="78.75">
      <c r="A28" s="630" t="s">
        <v>813</v>
      </c>
      <c r="B28" s="631" t="s">
        <v>793</v>
      </c>
      <c r="C28" s="641">
        <f>C29</f>
        <v>2235.94</v>
      </c>
      <c r="D28" s="641">
        <v>0</v>
      </c>
      <c r="E28" s="647">
        <f t="shared" si="0"/>
        <v>0</v>
      </c>
      <c r="F28" s="648"/>
    </row>
    <row r="29" spans="1:8">
      <c r="A29" s="661">
        <v>1</v>
      </c>
      <c r="B29" s="662" t="s">
        <v>799</v>
      </c>
      <c r="C29" s="643">
        <v>2235.94</v>
      </c>
      <c r="D29" s="665">
        <v>0</v>
      </c>
      <c r="E29" s="647">
        <f t="shared" si="0"/>
        <v>0</v>
      </c>
      <c r="F29" s="664"/>
    </row>
    <row r="30" spans="1:8" s="635" customFormat="1" ht="47.25">
      <c r="A30" s="630" t="s">
        <v>819</v>
      </c>
      <c r="B30" s="631" t="s">
        <v>818</v>
      </c>
      <c r="C30" s="645">
        <f>C31+C32</f>
        <v>4000</v>
      </c>
      <c r="D30" s="641">
        <f>D31+D32</f>
        <v>0</v>
      </c>
      <c r="E30" s="647">
        <f t="shared" si="0"/>
        <v>0</v>
      </c>
      <c r="F30" s="648"/>
    </row>
    <row r="31" spans="1:8">
      <c r="A31" s="661">
        <v>1</v>
      </c>
      <c r="B31" s="662" t="s">
        <v>809</v>
      </c>
      <c r="C31" s="644">
        <v>2500</v>
      </c>
      <c r="D31" s="665">
        <v>0</v>
      </c>
      <c r="E31" s="647">
        <f t="shared" si="0"/>
        <v>0</v>
      </c>
      <c r="F31" s="664"/>
    </row>
    <row r="32" spans="1:8">
      <c r="A32" s="661">
        <v>2</v>
      </c>
      <c r="B32" s="662" t="s">
        <v>817</v>
      </c>
      <c r="C32" s="644">
        <v>1500</v>
      </c>
      <c r="D32" s="665">
        <v>0</v>
      </c>
      <c r="E32" s="647">
        <f t="shared" si="0"/>
        <v>0</v>
      </c>
      <c r="F32" s="664"/>
    </row>
    <row r="33" spans="1:6" s="635" customFormat="1" ht="31.5">
      <c r="A33" s="630" t="s">
        <v>820</v>
      </c>
      <c r="B33" s="631" t="s">
        <v>785</v>
      </c>
      <c r="C33" s="645">
        <f>C34+C35</f>
        <v>12150</v>
      </c>
      <c r="D33" s="649">
        <f>D34+D35</f>
        <v>2596.1999999999998</v>
      </c>
      <c r="E33" s="647">
        <f t="shared" si="0"/>
        <v>0.21367901234567899</v>
      </c>
      <c r="F33" s="648"/>
    </row>
    <row r="34" spans="1:6">
      <c r="A34" s="661">
        <v>1</v>
      </c>
      <c r="B34" s="662" t="s">
        <v>814</v>
      </c>
      <c r="C34" s="644">
        <v>10000</v>
      </c>
      <c r="D34" s="669">
        <v>2596.1999999999998</v>
      </c>
      <c r="E34" s="647">
        <f t="shared" si="0"/>
        <v>0.25961999999999996</v>
      </c>
      <c r="F34" s="664"/>
    </row>
    <row r="35" spans="1:6">
      <c r="A35" s="661">
        <v>2</v>
      </c>
      <c r="B35" s="662" t="s">
        <v>805</v>
      </c>
      <c r="C35" s="644">
        <v>2150</v>
      </c>
      <c r="D35" s="665">
        <v>0</v>
      </c>
      <c r="E35" s="647">
        <f t="shared" si="0"/>
        <v>0</v>
      </c>
      <c r="F35" s="664"/>
    </row>
    <row r="36" spans="1:6" s="635" customFormat="1">
      <c r="A36" s="630" t="s">
        <v>821</v>
      </c>
      <c r="B36" s="631" t="s">
        <v>774</v>
      </c>
      <c r="C36" s="645">
        <f>C37+C38</f>
        <v>7050</v>
      </c>
      <c r="D36" s="641">
        <f>D37+D38</f>
        <v>2428.7439999999997</v>
      </c>
      <c r="E36" s="647">
        <f t="shared" si="0"/>
        <v>0.34450269503546094</v>
      </c>
      <c r="F36" s="648"/>
    </row>
    <row r="37" spans="1:6">
      <c r="A37" s="661">
        <v>1</v>
      </c>
      <c r="B37" s="662" t="s">
        <v>814</v>
      </c>
      <c r="C37" s="644">
        <v>1500</v>
      </c>
      <c r="D37" s="670">
        <v>1096.8119999999999</v>
      </c>
      <c r="E37" s="647">
        <f t="shared" si="0"/>
        <v>0.73120799999999997</v>
      </c>
      <c r="F37" s="664"/>
    </row>
    <row r="38" spans="1:6">
      <c r="A38" s="661">
        <v>2</v>
      </c>
      <c r="B38" s="662" t="s">
        <v>815</v>
      </c>
      <c r="C38" s="644">
        <v>5550</v>
      </c>
      <c r="D38" s="670">
        <v>1331.932</v>
      </c>
      <c r="E38" s="647">
        <f t="shared" si="0"/>
        <v>0.23998774774774775</v>
      </c>
      <c r="F38" s="664"/>
    </row>
    <row r="39" spans="1:6" s="635" customFormat="1">
      <c r="A39" s="630" t="s">
        <v>822</v>
      </c>
      <c r="B39" s="631" t="s">
        <v>775</v>
      </c>
      <c r="C39" s="641">
        <f>C40</f>
        <v>1722.069</v>
      </c>
      <c r="D39" s="641">
        <f>D40</f>
        <v>1017.67</v>
      </c>
      <c r="E39" s="647">
        <f t="shared" si="0"/>
        <v>0.59095773746580416</v>
      </c>
      <c r="F39" s="648"/>
    </row>
    <row r="40" spans="1:6">
      <c r="A40" s="661">
        <v>1</v>
      </c>
      <c r="B40" s="662" t="s">
        <v>814</v>
      </c>
      <c r="C40" s="643">
        <v>1722.069</v>
      </c>
      <c r="D40" s="670">
        <v>1017.67</v>
      </c>
      <c r="E40" s="647">
        <f t="shared" si="0"/>
        <v>0.59095773746580416</v>
      </c>
      <c r="F40" s="664"/>
    </row>
    <row r="41" spans="1:6" s="635" customFormat="1">
      <c r="A41" s="630" t="s">
        <v>823</v>
      </c>
      <c r="B41" s="631" t="s">
        <v>776</v>
      </c>
      <c r="C41" s="649">
        <f>C42</f>
        <v>589.5</v>
      </c>
      <c r="D41" s="641">
        <f>D42</f>
        <v>142.887</v>
      </c>
      <c r="E41" s="647">
        <f t="shared" si="0"/>
        <v>0.24238676844783716</v>
      </c>
      <c r="F41" s="648"/>
    </row>
    <row r="42" spans="1:6">
      <c r="A42" s="661">
        <v>2</v>
      </c>
      <c r="B42" s="662" t="s">
        <v>815</v>
      </c>
      <c r="C42" s="650">
        <v>589.5</v>
      </c>
      <c r="D42" s="670">
        <v>142.887</v>
      </c>
      <c r="E42" s="647">
        <f t="shared" si="0"/>
        <v>0.24238676844783716</v>
      </c>
      <c r="F42" s="664"/>
    </row>
    <row r="43" spans="1:6" s="635" customFormat="1">
      <c r="A43" s="630" t="s">
        <v>824</v>
      </c>
      <c r="B43" s="631" t="s">
        <v>826</v>
      </c>
      <c r="C43" s="645">
        <f>C44</f>
        <v>2300</v>
      </c>
      <c r="D43" s="641">
        <f>D44</f>
        <v>1331.02</v>
      </c>
      <c r="E43" s="647">
        <f t="shared" si="0"/>
        <v>0.57870434782608693</v>
      </c>
      <c r="F43" s="648"/>
    </row>
    <row r="44" spans="1:6">
      <c r="A44" s="661">
        <v>1</v>
      </c>
      <c r="B44" s="662" t="s">
        <v>809</v>
      </c>
      <c r="C44" s="644">
        <v>2300</v>
      </c>
      <c r="D44" s="670">
        <v>1331.02</v>
      </c>
      <c r="E44" s="651">
        <f t="shared" si="0"/>
        <v>0.57870434782608693</v>
      </c>
      <c r="F44" s="664"/>
    </row>
    <row r="45" spans="1:6" s="635" customFormat="1">
      <c r="A45" s="630" t="s">
        <v>825</v>
      </c>
      <c r="B45" s="631" t="s">
        <v>790</v>
      </c>
      <c r="C45" s="641">
        <f>C46</f>
        <v>4885.6779999999999</v>
      </c>
      <c r="D45" s="641">
        <f>D46</f>
        <v>2038.7260000000001</v>
      </c>
      <c r="E45" s="647">
        <f t="shared" si="0"/>
        <v>0.41728619855831683</v>
      </c>
      <c r="F45" s="648"/>
    </row>
    <row r="46" spans="1:6">
      <c r="A46" s="661">
        <v>1</v>
      </c>
      <c r="B46" s="662" t="s">
        <v>816</v>
      </c>
      <c r="C46" s="643">
        <v>4885.6779999999999</v>
      </c>
      <c r="D46" s="670">
        <v>2038.7260000000001</v>
      </c>
      <c r="E46" s="651">
        <f t="shared" si="0"/>
        <v>0.41728619855831683</v>
      </c>
      <c r="F46" s="664"/>
    </row>
    <row r="47" spans="1:6">
      <c r="A47" s="661"/>
      <c r="B47" s="662"/>
      <c r="C47" s="620"/>
      <c r="D47" s="671"/>
      <c r="E47" s="633"/>
      <c r="F47" s="662"/>
    </row>
  </sheetData>
  <mergeCells count="3">
    <mergeCell ref="A1:F1"/>
    <mergeCell ref="E3:F3"/>
    <mergeCell ref="A2:F2"/>
  </mergeCells>
  <pageMargins left="0.7" right="0.2"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BC UBND Huyện 15 hàng tháng</vt:lpstr>
      <vt:lpstr>TLP ngày 02</vt:lpstr>
      <vt:lpstr>LN ngày 02</vt:lpstr>
      <vt:lpstr>Trước 13 hàng tháng</vt:lpstr>
      <vt:lpstr>UBND ĐTC</vt:lpstr>
      <vt:lpstr>Sheet1</vt:lpstr>
      <vt:lpstr>UBND SN</vt:lpstr>
      <vt:lpstr>Sheet2</vt:lpstr>
      <vt:lpstr>Sheet3</vt:lpstr>
      <vt:lpstr>'BC UBND Huyện 15 hàng tháng'!Print_Titles</vt:lpstr>
      <vt:lpstr>'LN ngày 02'!Print_Titles</vt:lpstr>
      <vt:lpstr>'TLP ngày 02'!Print_Titles</vt:lpstr>
      <vt:lpstr>'Trước 13 hàng tháng'!Print_Titles</vt:lpstr>
      <vt:lpstr>'UBND ĐTC'!Print_Titles</vt:lpstr>
      <vt:lpstr>'UBND SN'!Print_Titles</vt:lpstr>
    </vt:vector>
  </TitlesOfParts>
  <Company>ADMIN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cp:lastPrinted>2023-03-22T02:02:01Z</cp:lastPrinted>
  <dcterms:created xsi:type="dcterms:W3CDTF">2018-02-06T08:15:19Z</dcterms:created>
  <dcterms:modified xsi:type="dcterms:W3CDTF">2023-03-22T02:02:05Z</dcterms:modified>
</cp:coreProperties>
</file>